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nde\Desktop\bueiro\"/>
    </mc:Choice>
  </mc:AlternateContent>
  <bookViews>
    <workbookView xWindow="0" yWindow="0" windowWidth="28800" windowHeight="12315" activeTab="3"/>
  </bookViews>
  <sheets>
    <sheet name="orçametno  (2)" sheetId="11" r:id="rId1"/>
    <sheet name="cronograma (2)" sheetId="12" r:id="rId2"/>
    <sheet name="memorial corrego seco (2)" sheetId="13" r:id="rId3"/>
    <sheet name="orçametno 1" sheetId="6" r:id="rId4"/>
    <sheet name="cronograma" sheetId="2" r:id="rId5"/>
    <sheet name="memorial corrego cainana" sheetId="9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1" l="1"/>
  <c r="E19" i="12"/>
  <c r="E18" i="12"/>
  <c r="E17" i="12"/>
  <c r="E16" i="12"/>
  <c r="E15" i="12"/>
  <c r="E14" i="12"/>
  <c r="E13" i="12"/>
  <c r="E12" i="12"/>
  <c r="E11" i="12"/>
  <c r="B8" i="12"/>
  <c r="B7" i="12"/>
  <c r="I15" i="13" l="1"/>
  <c r="E25" i="11"/>
  <c r="E52" i="11"/>
  <c r="E51" i="11"/>
  <c r="E50" i="11"/>
  <c r="H26" i="13"/>
  <c r="H25" i="13"/>
  <c r="F25" i="13"/>
  <c r="H26" i="9"/>
  <c r="G26" i="9"/>
  <c r="F26" i="9"/>
  <c r="F25" i="9"/>
  <c r="C5" i="13" l="1"/>
  <c r="D3" i="13"/>
  <c r="B14" i="13"/>
  <c r="G31" i="13"/>
  <c r="G30" i="13"/>
  <c r="G29" i="13"/>
  <c r="B30" i="13"/>
  <c r="B31" i="13"/>
  <c r="B26" i="13"/>
  <c r="B25" i="13"/>
  <c r="F26" i="13"/>
  <c r="B16" i="13"/>
  <c r="D13" i="13"/>
  <c r="C13" i="13"/>
  <c r="B13" i="13"/>
  <c r="G3" i="13"/>
  <c r="B33" i="9"/>
  <c r="G8" i="9"/>
  <c r="G3" i="9"/>
  <c r="E44" i="11" l="1"/>
  <c r="E40" i="11"/>
  <c r="E38" i="11"/>
  <c r="H31" i="13"/>
  <c r="H30" i="13"/>
  <c r="C30" i="13"/>
  <c r="C31" i="13"/>
  <c r="C26" i="13"/>
  <c r="C25" i="13"/>
  <c r="E35" i="11" s="1"/>
  <c r="G20" i="13"/>
  <c r="E29" i="11" s="1"/>
  <c r="B18" i="13" l="1"/>
  <c r="E26" i="11" s="1"/>
  <c r="E47" i="11" s="1"/>
  <c r="H47" i="11" s="1"/>
  <c r="E21" i="11"/>
  <c r="H21" i="11" s="1"/>
  <c r="B36" i="13"/>
  <c r="E55" i="11" s="1"/>
  <c r="E33" i="11"/>
  <c r="I26" i="13"/>
  <c r="E39" i="11" s="1"/>
  <c r="G25" i="13"/>
  <c r="I25" i="13" s="1"/>
  <c r="E34" i="11" s="1"/>
  <c r="H34" i="11" s="1"/>
  <c r="E24" i="11"/>
  <c r="H13" i="13"/>
  <c r="I13" i="13" s="1"/>
  <c r="H12" i="13"/>
  <c r="I12" i="13" s="1"/>
  <c r="F8" i="13"/>
  <c r="B19" i="12"/>
  <c r="A19" i="12"/>
  <c r="H18" i="12"/>
  <c r="B18" i="12"/>
  <c r="A18" i="12"/>
  <c r="B17" i="12"/>
  <c r="A17" i="12"/>
  <c r="F16" i="12"/>
  <c r="B16" i="12"/>
  <c r="A16" i="12"/>
  <c r="B15" i="12"/>
  <c r="A15" i="12"/>
  <c r="F14" i="12"/>
  <c r="B14" i="12"/>
  <c r="A14" i="12"/>
  <c r="B13" i="12"/>
  <c r="A13" i="12"/>
  <c r="B12" i="12"/>
  <c r="A12" i="12"/>
  <c r="B11" i="12"/>
  <c r="A11" i="12"/>
  <c r="A8" i="12"/>
  <c r="A7" i="12"/>
  <c r="G55" i="11"/>
  <c r="H55" i="11" s="1"/>
  <c r="H54" i="11" s="1"/>
  <c r="H53" i="11"/>
  <c r="G53" i="11"/>
  <c r="G52" i="11"/>
  <c r="H52" i="11" s="1"/>
  <c r="H51" i="11"/>
  <c r="G51" i="11"/>
  <c r="G50" i="11"/>
  <c r="H50" i="11" s="1"/>
  <c r="G47" i="11"/>
  <c r="G46" i="11"/>
  <c r="G45" i="11"/>
  <c r="E45" i="11"/>
  <c r="G44" i="11"/>
  <c r="H44" i="11" s="1"/>
  <c r="H40" i="11"/>
  <c r="G40" i="11"/>
  <c r="G39" i="11"/>
  <c r="H39" i="11" s="1"/>
  <c r="G38" i="11"/>
  <c r="H38" i="11" s="1"/>
  <c r="G35" i="11"/>
  <c r="H35" i="11" s="1"/>
  <c r="G34" i="11"/>
  <c r="G33" i="11"/>
  <c r="G30" i="11"/>
  <c r="G29" i="11"/>
  <c r="H29" i="11" s="1"/>
  <c r="E30" i="11"/>
  <c r="H30" i="11" s="1"/>
  <c r="G26" i="11"/>
  <c r="G25" i="11"/>
  <c r="H25" i="11" s="1"/>
  <c r="G24" i="11"/>
  <c r="G21" i="11"/>
  <c r="G20" i="11"/>
  <c r="H17" i="11"/>
  <c r="G17" i="11"/>
  <c r="G16" i="11"/>
  <c r="H16" i="11" s="1"/>
  <c r="G15" i="11"/>
  <c r="H15" i="11" s="1"/>
  <c r="B8" i="2"/>
  <c r="A8" i="2"/>
  <c r="B7" i="2"/>
  <c r="A7" i="2"/>
  <c r="B19" i="2"/>
  <c r="A19" i="2"/>
  <c r="E18" i="2"/>
  <c r="B18" i="2"/>
  <c r="A18" i="2"/>
  <c r="B17" i="2"/>
  <c r="A17" i="2"/>
  <c r="E16" i="2"/>
  <c r="B16" i="2"/>
  <c r="A16" i="2"/>
  <c r="E14" i="2"/>
  <c r="F14" i="2" s="1"/>
  <c r="H14" i="2" s="1"/>
  <c r="J14" i="2" s="1"/>
  <c r="B15" i="2"/>
  <c r="A15" i="2"/>
  <c r="B14" i="2"/>
  <c r="A14" i="2"/>
  <c r="B13" i="2"/>
  <c r="A13" i="2"/>
  <c r="B12" i="2"/>
  <c r="A12" i="2"/>
  <c r="B11" i="2"/>
  <c r="A11" i="2"/>
  <c r="G17" i="6"/>
  <c r="H17" i="6" s="1"/>
  <c r="H49" i="11" l="1"/>
  <c r="H26" i="11"/>
  <c r="H46" i="11"/>
  <c r="H14" i="11"/>
  <c r="H45" i="11"/>
  <c r="H37" i="11"/>
  <c r="H33" i="11"/>
  <c r="H32" i="11" s="1"/>
  <c r="I14" i="13"/>
  <c r="E46" i="11" s="1"/>
  <c r="B8" i="13"/>
  <c r="H5" i="13"/>
  <c r="E20" i="11" s="1"/>
  <c r="H20" i="11" s="1"/>
  <c r="H19" i="11" s="1"/>
  <c r="J18" i="12"/>
  <c r="H14" i="12"/>
  <c r="H28" i="11"/>
  <c r="H18" i="2"/>
  <c r="J18" i="2" s="1"/>
  <c r="H43" i="11" l="1"/>
  <c r="J14" i="12"/>
  <c r="B36" i="9" l="1"/>
  <c r="E55" i="6" s="1"/>
  <c r="E26" i="6"/>
  <c r="E47" i="6" s="1"/>
  <c r="H13" i="9"/>
  <c r="H12" i="9"/>
  <c r="B14" i="9"/>
  <c r="H24" i="11" s="1"/>
  <c r="H23" i="11" s="1"/>
  <c r="E21" i="6"/>
  <c r="G30" i="6"/>
  <c r="E29" i="6" l="1"/>
  <c r="E30" i="6" s="1"/>
  <c r="H30" i="6" s="1"/>
  <c r="G40" i="6"/>
  <c r="H40" i="6" s="1"/>
  <c r="G39" i="6"/>
  <c r="H39" i="6" s="1"/>
  <c r="G38" i="6"/>
  <c r="H38" i="6" s="1"/>
  <c r="E52" i="6"/>
  <c r="G52" i="6"/>
  <c r="H31" i="9"/>
  <c r="G31" i="9"/>
  <c r="E51" i="6"/>
  <c r="G30" i="9"/>
  <c r="G51" i="6"/>
  <c r="H51" i="6" s="1"/>
  <c r="E50" i="6"/>
  <c r="G50" i="6"/>
  <c r="G29" i="9"/>
  <c r="G53" i="6"/>
  <c r="H53" i="6" s="1"/>
  <c r="G55" i="6"/>
  <c r="H55" i="6" s="1"/>
  <c r="H54" i="6" s="1"/>
  <c r="B31" i="9"/>
  <c r="C30" i="9"/>
  <c r="E33" i="6" s="1"/>
  <c r="B26" i="9"/>
  <c r="E35" i="6" s="1"/>
  <c r="B30" i="9"/>
  <c r="G25" i="9"/>
  <c r="H25" i="9" s="1"/>
  <c r="B25" i="9"/>
  <c r="E45" i="6"/>
  <c r="I13" i="9"/>
  <c r="B18" i="9"/>
  <c r="I12" i="9"/>
  <c r="E24" i="6"/>
  <c r="F8" i="9"/>
  <c r="H5" i="9"/>
  <c r="E20" i="6" s="1"/>
  <c r="B8" i="9"/>
  <c r="D3" i="9"/>
  <c r="C5" i="9" s="1"/>
  <c r="G33" i="6"/>
  <c r="G34" i="6"/>
  <c r="G35" i="6"/>
  <c r="G44" i="6"/>
  <c r="G45" i="6"/>
  <c r="G46" i="6"/>
  <c r="G47" i="6"/>
  <c r="G16" i="6"/>
  <c r="H16" i="6" s="1"/>
  <c r="G20" i="6"/>
  <c r="G21" i="6"/>
  <c r="G24" i="6"/>
  <c r="G25" i="6"/>
  <c r="G26" i="6"/>
  <c r="G29" i="6"/>
  <c r="I25" i="9" l="1"/>
  <c r="E34" i="6"/>
  <c r="H34" i="6" s="1"/>
  <c r="E19" i="2"/>
  <c r="F19" i="2" s="1"/>
  <c r="H19" i="2" s="1"/>
  <c r="J19" i="2" s="1"/>
  <c r="F19" i="12"/>
  <c r="H19" i="12" s="1"/>
  <c r="J19" i="12" s="1"/>
  <c r="H37" i="6"/>
  <c r="H35" i="6"/>
  <c r="H52" i="6"/>
  <c r="H50" i="6"/>
  <c r="H24" i="6"/>
  <c r="H33" i="6"/>
  <c r="C25" i="9"/>
  <c r="H45" i="6"/>
  <c r="H47" i="6"/>
  <c r="H44" i="6"/>
  <c r="H29" i="6"/>
  <c r="H28" i="6" s="1"/>
  <c r="I14" i="9"/>
  <c r="H26" i="6"/>
  <c r="H20" i="6"/>
  <c r="H21" i="6"/>
  <c r="G15" i="6"/>
  <c r="H15" i="6" s="1"/>
  <c r="H14" i="6" s="1"/>
  <c r="F11" i="12" l="1"/>
  <c r="H11" i="12" s="1"/>
  <c r="J11" i="12" s="1"/>
  <c r="E11" i="2"/>
  <c r="F11" i="2" s="1"/>
  <c r="H11" i="2" s="1"/>
  <c r="J11" i="2" s="1"/>
  <c r="H49" i="6"/>
  <c r="H19" i="6"/>
  <c r="H32" i="6"/>
  <c r="I15" i="9"/>
  <c r="E25" i="6" s="1"/>
  <c r="F15" i="12" l="1"/>
  <c r="H15" i="12" s="1"/>
  <c r="E15" i="2"/>
  <c r="F15" i="2" s="1"/>
  <c r="H15" i="2" s="1"/>
  <c r="E12" i="2"/>
  <c r="F12" i="2" s="1"/>
  <c r="F12" i="12"/>
  <c r="H25" i="6"/>
  <c r="H23" i="6" s="1"/>
  <c r="E46" i="6"/>
  <c r="H46" i="6" s="1"/>
  <c r="H43" i="6" s="1"/>
  <c r="H17" i="12" l="1"/>
  <c r="J17" i="12" s="1"/>
  <c r="J21" i="12" s="1"/>
  <c r="E17" i="2"/>
  <c r="H17" i="2" s="1"/>
  <c r="J17" i="2" s="1"/>
  <c r="J21" i="2" s="1"/>
  <c r="E13" i="2"/>
  <c r="H58" i="6"/>
  <c r="H62" i="6" l="1"/>
  <c r="F13" i="12"/>
  <c r="E21" i="12"/>
  <c r="F13" i="2"/>
  <c r="E21" i="2"/>
  <c r="F16" i="2"/>
  <c r="K17" i="2" l="1"/>
  <c r="G19" i="2"/>
  <c r="I16" i="2"/>
  <c r="K16" i="2"/>
  <c r="I19" i="2"/>
  <c r="G14" i="2"/>
  <c r="K12" i="2"/>
  <c r="G15" i="2"/>
  <c r="I15" i="2"/>
  <c r="G18" i="2"/>
  <c r="K15" i="2"/>
  <c r="K14" i="2"/>
  <c r="I11" i="2"/>
  <c r="G11" i="2"/>
  <c r="K13" i="2"/>
  <c r="I14" i="2"/>
  <c r="I12" i="2"/>
  <c r="G12" i="2"/>
  <c r="I17" i="2"/>
  <c r="K19" i="2"/>
  <c r="K11" i="2"/>
  <c r="K18" i="2"/>
  <c r="I18" i="2"/>
  <c r="G17" i="2"/>
  <c r="H13" i="2"/>
  <c r="G13" i="2"/>
  <c r="G15" i="12"/>
  <c r="K17" i="12"/>
  <c r="I18" i="12"/>
  <c r="G12" i="12"/>
  <c r="I17" i="12"/>
  <c r="G16" i="12"/>
  <c r="G19" i="12"/>
  <c r="G18" i="12"/>
  <c r="G11" i="12"/>
  <c r="I16" i="12"/>
  <c r="G17" i="12"/>
  <c r="I15" i="12"/>
  <c r="K12" i="12"/>
  <c r="I14" i="12"/>
  <c r="G14" i="12"/>
  <c r="I19" i="12"/>
  <c r="K15" i="12"/>
  <c r="I11" i="12"/>
  <c r="K16" i="12"/>
  <c r="K13" i="12"/>
  <c r="K18" i="12"/>
  <c r="I12" i="12"/>
  <c r="K19" i="12"/>
  <c r="K14" i="12"/>
  <c r="K11" i="12"/>
  <c r="F21" i="12"/>
  <c r="F22" i="12" s="1"/>
  <c r="H13" i="12"/>
  <c r="G13" i="12"/>
  <c r="G16" i="2"/>
  <c r="F21" i="2"/>
  <c r="F22" i="2"/>
  <c r="G21" i="12" l="1"/>
  <c r="G22" i="12" s="1"/>
  <c r="I13" i="12"/>
  <c r="I21" i="12" s="1"/>
  <c r="H21" i="12"/>
  <c r="H22" i="12" s="1"/>
  <c r="J22" i="12" s="1"/>
  <c r="K21" i="2"/>
  <c r="G21" i="2"/>
  <c r="K21" i="12"/>
  <c r="I13" i="2"/>
  <c r="I21" i="2" s="1"/>
  <c r="H21" i="2"/>
  <c r="H22" i="2" s="1"/>
  <c r="I22" i="12" l="1"/>
  <c r="K22" i="12" s="1"/>
  <c r="J22" i="2"/>
  <c r="G22" i="2"/>
  <c r="I22" i="2" s="1"/>
  <c r="K22" i="2" s="1"/>
</calcChain>
</file>

<file path=xl/sharedStrings.xml><?xml version="1.0" encoding="utf-8"?>
<sst xmlns="http://schemas.openxmlformats.org/spreadsheetml/2006/main" count="338" uniqueCount="135">
  <si>
    <t xml:space="preserve">OBRA: </t>
  </si>
  <si>
    <t>TABELA REFERÊNCIA:</t>
  </si>
  <si>
    <t>PROP:</t>
  </si>
  <si>
    <t>BDI SERVIÇOS:</t>
  </si>
  <si>
    <t xml:space="preserve">ORÇAMENTO DA OBRA </t>
  </si>
  <si>
    <t>ITEM</t>
  </si>
  <si>
    <t>CÓDIGO</t>
  </si>
  <si>
    <t>DESCRIÇÃO DO SERVIÇO</t>
  </si>
  <si>
    <t>UND.</t>
  </si>
  <si>
    <t>QTID.</t>
  </si>
  <si>
    <t>TOTAL (R$)</t>
  </si>
  <si>
    <t>CUSTO TOTAL</t>
  </si>
  <si>
    <t>m²</t>
  </si>
  <si>
    <t>CRONOGRAMA FÍSICO-FINANCEIRO</t>
  </si>
  <si>
    <t>1.0</t>
  </si>
  <si>
    <t>1º Mês</t>
  </si>
  <si>
    <t>UNIT (R$)</t>
  </si>
  <si>
    <t>2º Mês</t>
  </si>
  <si>
    <t>BDI</t>
  </si>
  <si>
    <t>UNIT+BDI (R$)</t>
  </si>
  <si>
    <t>LOCAL:</t>
  </si>
  <si>
    <t>CNPJ</t>
  </si>
  <si>
    <t>ENGENHEIRO CIVIL DE OBRA PLENO COM ENCARGOS COMPLEMENTARES</t>
  </si>
  <si>
    <t>H</t>
  </si>
  <si>
    <t>MESTRE DE OBRAS COM ENCARGOS COMPLEMENTARES</t>
  </si>
  <si>
    <t>ADM</t>
  </si>
  <si>
    <t>2.0</t>
  </si>
  <si>
    <t>SERVIÇOS PRELIMINARES</t>
  </si>
  <si>
    <t>ESCAVAÇÃO MANUAL DE VIGA DE BORDA PARA RADIER. AF_09/2021</t>
  </si>
  <si>
    <t>COMPACTAÇÃO MECÂNICA DE SOLO PARA EXECUÇÃO DE RADIER, PISO DE CONCRETO OU LAJE SOBRE SOLO, COM COMPACTADOR DE SOLOS A PERCUSSÃO. AF_09/2021</t>
  </si>
  <si>
    <t>m³</t>
  </si>
  <si>
    <t>3.0</t>
  </si>
  <si>
    <t>PISO (LAJE)</t>
  </si>
  <si>
    <t>FABRICAÇÃO, MONTAGEM E DESMONTAGEM DE FORMA PARA RADIER, PISO DE CONCR M2 ETO OU LAJE SOBRE SOLO, EM MADEIRA SERRADA, 4 UTILIZAÇÕES. AF_09/2021</t>
  </si>
  <si>
    <t>CONCRETAGEM DE RADIER, PISO DE CONCRETO OU LAJE SOBRE SOLO, FCK 30 MPA - LANÇAMENTO, ADENSAMENTO E ACABAMENTO. AF_09/2021</t>
  </si>
  <si>
    <t>ARMAÇÃO DE LAJE DE ESTRUTURA CONVENCIONAL DE CONCRETO ARMADO UTILIZANDO AÇO CA-50 DE 8,0 MM - MONTAGEM. AF_06/2022</t>
  </si>
  <si>
    <t>4.0</t>
  </si>
  <si>
    <t xml:space="preserve">ALVENARIA ESTRUTURAL </t>
  </si>
  <si>
    <t>ALVENARIA DE BLOCOS DE CONCRETO ESTRUTURAL 14X19X29 CM (ESPESSURA 14 CM), FBK = 4,5 MPA, UTILIZANDO PALHETA. AF_10/2022</t>
  </si>
  <si>
    <t>SINAPI 04/2023</t>
  </si>
  <si>
    <t>5.0</t>
  </si>
  <si>
    <t>FABRICAÇÃO DE FÔRMA PARA VIGAS, COM MADEIRA SERRADA, E = 25 MM. AF_09/2020</t>
  </si>
  <si>
    <t>ARMAÇÃO DE PILAR OU VIGA DE ESTRUTURA CONVENCIONAL DE CONCRETO ARMADO UTILIZANDO AÇO CA-50 DE 10,0 MM - MONTAGEM. AF_06/2022</t>
  </si>
  <si>
    <t>kg</t>
  </si>
  <si>
    <t>CONCRETAGEM DE BLOCOS DE COROAMENTO E VIGAS BALDRAME, FCK 30 MPA, COM USO DE JERICA LANÇAMENTO, ADENSAMENTO E ACABAMENTO. AF_06/2017</t>
  </si>
  <si>
    <t>LAJE</t>
  </si>
  <si>
    <t>6.0</t>
  </si>
  <si>
    <t>MONTAGEM E DESMONTAGEM DE FÔRMA DE LAJE MACIÇA, PÉ-DIREITO SIMPLES, EM MADEIRA SERRADA, 2 UTILIZAÇÕES. AF_09/2020</t>
  </si>
  <si>
    <t>ESCORAMENTO DE FÔRMAS DE LAJE EM MADEIRA NÃO APARELHADA, PÉ-DIREITO SIMPLES, INCLUSO TRAVAMENTO, 4 UTILIZAÇÕES. AF_09/2020</t>
  </si>
  <si>
    <t>CONCRETAGEM DE LAJES EM EDIFICAÇÕES UNIFAMILIARES FEITAS COM SISTEMA DFÔRMAS MANUSEÁVEIS, COM CONCRETO USINADO BOMBEÁVEL FCK 25 MPA - LANÇAMENTO, ADENSAMENTO E ACABAMENTO. AF_10/2021</t>
  </si>
  <si>
    <t>memoria de calculo</t>
  </si>
  <si>
    <t>12 brocas</t>
  </si>
  <si>
    <t>espessura</t>
  </si>
  <si>
    <t>altura</t>
  </si>
  <si>
    <t>escavação de brocas</t>
  </si>
  <si>
    <t>concretagem das brocas</t>
  </si>
  <si>
    <t>escavação piso</t>
  </si>
  <si>
    <t>metragem quadrada</t>
  </si>
  <si>
    <t>sub total</t>
  </si>
  <si>
    <t>Kg</t>
  </si>
  <si>
    <t xml:space="preserve">concretagem laje piso </t>
  </si>
  <si>
    <t>forma laje de piso</t>
  </si>
  <si>
    <t>metragem lineares</t>
  </si>
  <si>
    <t>L1</t>
  </si>
  <si>
    <t>L2</t>
  </si>
  <si>
    <t>L3</t>
  </si>
  <si>
    <t>armação de laje piso</t>
  </si>
  <si>
    <t>metragem linear de vergalhao</t>
  </si>
  <si>
    <t>concretagem laje de piso</t>
  </si>
  <si>
    <t>alvenaria estrutural</t>
  </si>
  <si>
    <t>m2</t>
  </si>
  <si>
    <t>viga e pilares</t>
  </si>
  <si>
    <t>12 pilares 15x30</t>
  </si>
  <si>
    <t>4 vigas 15x35</t>
  </si>
  <si>
    <t>vergalhao para pilares e viga</t>
  </si>
  <si>
    <t xml:space="preserve">forma vigas e pilares </t>
  </si>
  <si>
    <t>6 vigas 15x35</t>
  </si>
  <si>
    <t xml:space="preserve">vergalhao 8mm 0,395 por metro quadrado </t>
  </si>
  <si>
    <t>ALAS DO BUEIRO</t>
  </si>
  <si>
    <t>ALAS 2,3X4</t>
  </si>
  <si>
    <t>CONCRETAGEM DE RADIER, PISO DE CONCRETO OU LAJE SOBRE SOLO, FCK 30 MPA - LANÇAMENTO, ADENSAMENTO E ACABAMENTO. AF_09/2021 (DENTE DE CONCRETO)</t>
  </si>
  <si>
    <t>DENTE DE CONCRETO</t>
  </si>
  <si>
    <t>CALÇADA DA ALA</t>
  </si>
  <si>
    <t>CONCRETAGEM DE RADIER, PISO DE CONCRETO OU LAJE SOBRE SOLO, FCK 30 MPA - LANÇAMENTO, ADENSAMENTO E ACABAMENTO. AF_09/2021 (CALÇADAS)</t>
  </si>
  <si>
    <t>ESTRUTURAS PILARES</t>
  </si>
  <si>
    <t>ESTRUTURAS VIGAS</t>
  </si>
  <si>
    <t>CONCRETAGEM DE RADIER, PISO DE CONCRETO OU LAJE SOBRE SOLO, FCK 30 MPA - LANÇAMENTO, ADENSAMENTO E ACABAMENTO. AF_09/2021 (alvenaria estrutural)</t>
  </si>
  <si>
    <t>ESCAVAÇÃO (CARGA E DESCARGA)</t>
  </si>
  <si>
    <t>ESCAVAÇÃO VERTICAL PARA INFRAESTRUTURA, COM CARGA, DESCARGA E TRANSPORTE DE SOLO DE 1ª CATEGORIA, COM ESCAVADEIRA HIDRÁULICA (CAÇAMBA: 0,8 M³ / 111HP), FROTA DE 8 CAMINHÕES SCULANTES DE 14 M³, DMT DE 6 KM E VELOCIDADE MÉDIA 22 KM/H. AF_05/2020</t>
  </si>
  <si>
    <t xml:space="preserve">escavaçao de solo </t>
  </si>
  <si>
    <t>largura</t>
  </si>
  <si>
    <t>profundidade</t>
  </si>
  <si>
    <t>PREFEITURA MUNICIPAL DE SÃO PEDRO DA CIPA</t>
  </si>
  <si>
    <t>S 16° 0' 34'' , W 54° 51' 46''</t>
  </si>
  <si>
    <t>7.0</t>
  </si>
  <si>
    <t>8.0</t>
  </si>
  <si>
    <t>9.0</t>
  </si>
  <si>
    <t>EXECUÇÃO DE DEPÓSITO EM CANTEIRO DE OBRA EM CHAPA DE MADEIRA COMPENSADA, NÃO INCLUSO MOBILIÁRIO. AF_04/2016</t>
  </si>
  <si>
    <t>1.1</t>
  </si>
  <si>
    <t>1.2</t>
  </si>
  <si>
    <t>1.3</t>
  </si>
  <si>
    <t>2.1</t>
  </si>
  <si>
    <t>2.2</t>
  </si>
  <si>
    <t>3.1</t>
  </si>
  <si>
    <t>3.2</t>
  </si>
  <si>
    <t>3.3</t>
  </si>
  <si>
    <t>4.1</t>
  </si>
  <si>
    <t>4.2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</si>
  <si>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</si>
  <si>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</si>
  <si>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</si>
  <si>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</si>
  <si>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</si>
  <si>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</si>
  <si>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</si>
  <si>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</si>
  <si>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</si>
  <si>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</si>
  <si>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</si>
  <si>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</si>
  <si>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</si>
  <si>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9.1</t>
  </si>
  <si>
    <t>item</t>
  </si>
  <si>
    <t>valor</t>
  </si>
  <si>
    <t>3º Mês</t>
  </si>
  <si>
    <t xml:space="preserve">CUSTO TOTAL </t>
  </si>
  <si>
    <t>S 15° 57' 57'' , W 54° 50' 43''</t>
  </si>
  <si>
    <t>18 pilares 15x30</t>
  </si>
  <si>
    <t>10 vigas 15x35</t>
  </si>
  <si>
    <t>10vigas 15x35</t>
  </si>
  <si>
    <t>18 brocas</t>
  </si>
  <si>
    <t>ARMAÇÃO DE LAJE DE ESTRUTURA CONVENCIONAL DE CONCRETO ARMADO UTILIZANDO AÇO CA-50 DE 10,0 MM - MONTAGEM. AF_06/2022</t>
  </si>
  <si>
    <t>Bueiro celular corrego seco</t>
  </si>
  <si>
    <t xml:space="preserve">Bueiro celular corrego Cainana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</si>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</sst>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26"/>
      <color theme="1"/>
      <name val="Arial"/>
      <family val="2"/>
    </font>
    <font>
      <b/>
      <sz val="18"/>
      <color indexed="8"/>
      <name val="Arial"/>
      <family val="2"/>
    </font>
    <font>
      <b/>
      <sz val="12"/>
      <color theme="1"/>
      <name val="Arial"/>
      <family val="2"/>
    </font>
    <font>
      <b/>
      <sz val="30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</cellStyleXfs>
  <cellXfs count="169">
    <xf numFmtId="0" fontId="0" fillId="0" borderId="0" xfId="0"/>
    <xf numFmtId="9" fontId="0" fillId="0" borderId="0" xfId="3" applyFont="1"/>
    <xf numFmtId="0" fontId="0" fillId="0" borderId="0" xfId="0" applyBorder="1"/>
    <xf numFmtId="0" fontId="0" fillId="0" borderId="17" xfId="0" applyBorder="1"/>
    <xf numFmtId="0" fontId="0" fillId="0" borderId="12" xfId="0" applyBorder="1"/>
    <xf numFmtId="0" fontId="0" fillId="0" borderId="2" xfId="0" applyBorder="1"/>
    <xf numFmtId="164" fontId="5" fillId="0" borderId="10" xfId="2" applyFont="1" applyBorder="1" applyAlignment="1">
      <alignment vertical="center"/>
    </xf>
    <xf numFmtId="2" fontId="5" fillId="3" borderId="10" xfId="0" applyNumberFormat="1" applyFont="1" applyFill="1" applyBorder="1" applyAlignment="1">
      <alignment horizontal="center" vertical="center"/>
    </xf>
    <xf numFmtId="164" fontId="5" fillId="3" borderId="10" xfId="2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 wrapText="1"/>
    </xf>
    <xf numFmtId="164" fontId="7" fillId="4" borderId="11" xfId="2" applyFont="1" applyFill="1" applyBorder="1" applyAlignment="1">
      <alignment vertical="center"/>
    </xf>
    <xf numFmtId="164" fontId="5" fillId="3" borderId="11" xfId="2" applyFont="1" applyFill="1" applyBorder="1" applyAlignment="1">
      <alignment horizontal="center" vertical="center"/>
    </xf>
    <xf numFmtId="164" fontId="5" fillId="0" borderId="11" xfId="2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164" fontId="5" fillId="0" borderId="0" xfId="2" applyFont="1" applyAlignment="1">
      <alignment horizontal="center"/>
    </xf>
    <xf numFmtId="0" fontId="5" fillId="0" borderId="0" xfId="0" applyFont="1" applyAlignment="1"/>
    <xf numFmtId="0" fontId="8" fillId="3" borderId="9" xfId="5" applyFont="1" applyFill="1" applyBorder="1" applyAlignment="1">
      <alignment horizontal="center"/>
    </xf>
    <xf numFmtId="166" fontId="7" fillId="3" borderId="10" xfId="3" applyNumberFormat="1" applyFont="1" applyFill="1" applyBorder="1" applyAlignment="1">
      <alignment horizontal="center" wrapText="1"/>
    </xf>
    <xf numFmtId="164" fontId="7" fillId="3" borderId="10" xfId="2" applyFont="1" applyFill="1" applyBorder="1" applyAlignment="1">
      <alignment horizontal="center"/>
    </xf>
    <xf numFmtId="164" fontId="7" fillId="3" borderId="11" xfId="2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/>
    <xf numFmtId="0" fontId="2" fillId="2" borderId="28" xfId="0" applyFont="1" applyFill="1" applyBorder="1"/>
    <xf numFmtId="0" fontId="0" fillId="0" borderId="1" xfId="0" applyBorder="1"/>
    <xf numFmtId="0" fontId="0" fillId="0" borderId="16" xfId="0" applyBorder="1"/>
    <xf numFmtId="0" fontId="0" fillId="0" borderId="27" xfId="0" applyBorder="1"/>
    <xf numFmtId="0" fontId="0" fillId="0" borderId="18" xfId="0" applyBorder="1"/>
    <xf numFmtId="0" fontId="0" fillId="0" borderId="29" xfId="0" applyBorder="1"/>
    <xf numFmtId="0" fontId="0" fillId="2" borderId="28" xfId="0" applyFill="1" applyBorder="1"/>
    <xf numFmtId="2" fontId="6" fillId="2" borderId="10" xfId="0" applyNumberFormat="1" applyFont="1" applyFill="1" applyBorder="1" applyAlignment="1">
      <alignment horizontal="center" vertical="center"/>
    </xf>
    <xf numFmtId="164" fontId="6" fillId="2" borderId="11" xfId="2" applyFont="1" applyFill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44" fontId="5" fillId="0" borderId="0" xfId="0" applyNumberFormat="1" applyFont="1" applyAlignment="1"/>
    <xf numFmtId="164" fontId="5" fillId="0" borderId="0" xfId="0" applyNumberFormat="1" applyFont="1" applyAlignment="1"/>
    <xf numFmtId="0" fontId="2" fillId="0" borderId="16" xfId="0" applyFont="1" applyBorder="1"/>
    <xf numFmtId="164" fontId="7" fillId="3" borderId="10" xfId="2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7" fillId="3" borderId="11" xfId="2" applyFont="1" applyFill="1" applyBorder="1" applyAlignment="1">
      <alignment horizontal="center" wrapText="1"/>
    </xf>
    <xf numFmtId="10" fontId="5" fillId="0" borderId="0" xfId="3" applyNumberFormat="1" applyFont="1" applyAlignment="1"/>
    <xf numFmtId="0" fontId="5" fillId="3" borderId="10" xfId="0" applyFont="1" applyFill="1" applyBorder="1" applyAlignment="1">
      <alignment horizontal="center" vertical="center"/>
    </xf>
    <xf numFmtId="164" fontId="5" fillId="0" borderId="19" xfId="2" applyFont="1" applyBorder="1" applyAlignment="1">
      <alignment vertical="center"/>
    </xf>
    <xf numFmtId="164" fontId="5" fillId="0" borderId="30" xfId="2" applyFont="1" applyBorder="1" applyAlignment="1">
      <alignment vertical="center"/>
    </xf>
    <xf numFmtId="0" fontId="4" fillId="2" borderId="4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 wrapText="1"/>
    </xf>
    <xf numFmtId="164" fontId="6" fillId="5" borderId="10" xfId="2" applyFont="1" applyFill="1" applyBorder="1" applyAlignment="1">
      <alignment horizontal="center" wrapText="1"/>
    </xf>
    <xf numFmtId="44" fontId="6" fillId="5" borderId="10" xfId="0" applyNumberFormat="1" applyFont="1" applyFill="1" applyBorder="1" applyAlignment="1">
      <alignment horizontal="center"/>
    </xf>
    <xf numFmtId="9" fontId="6" fillId="5" borderId="10" xfId="3" applyFont="1" applyFill="1" applyBorder="1"/>
    <xf numFmtId="9" fontId="6" fillId="5" borderId="11" xfId="3" applyFont="1" applyFill="1" applyBorder="1"/>
    <xf numFmtId="164" fontId="6" fillId="5" borderId="10" xfId="0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164" fontId="6" fillId="5" borderId="10" xfId="2" applyFont="1" applyFill="1" applyBorder="1"/>
    <xf numFmtId="164" fontId="6" fillId="5" borderId="10" xfId="0" applyNumberFormat="1" applyFont="1" applyFill="1" applyBorder="1"/>
    <xf numFmtId="0" fontId="6" fillId="5" borderId="6" xfId="0" applyFont="1" applyFill="1" applyBorder="1" applyAlignment="1">
      <alignment horizontal="center"/>
    </xf>
    <xf numFmtId="164" fontId="6" fillId="5" borderId="7" xfId="2" applyFont="1" applyFill="1" applyBorder="1"/>
    <xf numFmtId="164" fontId="6" fillId="5" borderId="7" xfId="0" applyNumberFormat="1" applyFont="1" applyFill="1" applyBorder="1"/>
    <xf numFmtId="0" fontId="7" fillId="3" borderId="23" xfId="0" applyFont="1" applyFill="1" applyBorder="1"/>
    <xf numFmtId="164" fontId="7" fillId="3" borderId="18" xfId="2" applyFont="1" applyFill="1" applyBorder="1"/>
    <xf numFmtId="164" fontId="7" fillId="3" borderId="23" xfId="0" applyNumberFormat="1" applyFont="1" applyFill="1" applyBorder="1"/>
    <xf numFmtId="9" fontId="7" fillId="3" borderId="22" xfId="3" applyFont="1" applyFill="1" applyBorder="1"/>
    <xf numFmtId="164" fontId="13" fillId="2" borderId="13" xfId="2" applyFont="1" applyFill="1" applyBorder="1"/>
    <xf numFmtId="164" fontId="13" fillId="2" borderId="23" xfId="0" applyNumberFormat="1" applyFont="1" applyFill="1" applyBorder="1"/>
    <xf numFmtId="9" fontId="13" fillId="2" borderId="22" xfId="3" applyFont="1" applyFill="1" applyBorder="1"/>
    <xf numFmtId="0" fontId="6" fillId="2" borderId="27" xfId="0" applyFont="1" applyFill="1" applyBorder="1"/>
    <xf numFmtId="0" fontId="6" fillId="2" borderId="18" xfId="0" applyFont="1" applyFill="1" applyBorder="1"/>
    <xf numFmtId="164" fontId="13" fillId="2" borderId="6" xfId="0" applyNumberFormat="1" applyFont="1" applyFill="1" applyBorder="1"/>
    <xf numFmtId="9" fontId="13" fillId="2" borderId="8" xfId="3" applyFont="1" applyFill="1" applyBorder="1"/>
    <xf numFmtId="9" fontId="13" fillId="2" borderId="8" xfId="0" applyNumberFormat="1" applyFont="1" applyFill="1" applyBorder="1"/>
    <xf numFmtId="0" fontId="15" fillId="2" borderId="28" xfId="0" applyFont="1" applyFill="1" applyBorder="1"/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6" fillId="4" borderId="10" xfId="2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/>
    </xf>
    <xf numFmtId="0" fontId="7" fillId="3" borderId="8" xfId="4" applyFont="1" applyFill="1" applyBorder="1" applyAlignment="1">
      <alignment horizontal="center"/>
    </xf>
    <xf numFmtId="164" fontId="6" fillId="2" borderId="19" xfId="2" applyFont="1" applyFill="1" applyBorder="1" applyAlignment="1">
      <alignment horizontal="center" vertical="center"/>
    </xf>
    <xf numFmtId="164" fontId="6" fillId="2" borderId="30" xfId="2" applyFont="1" applyFill="1" applyBorder="1" applyAlignment="1">
      <alignment horizontal="center" vertical="center"/>
    </xf>
    <xf numFmtId="0" fontId="7" fillId="3" borderId="19" xfId="5" applyFont="1" applyFill="1" applyBorder="1" applyAlignment="1">
      <alignment horizontal="left"/>
    </xf>
    <xf numFmtId="0" fontId="7" fillId="3" borderId="30" xfId="5" applyFont="1" applyFill="1" applyBorder="1" applyAlignment="1">
      <alignment horizontal="left"/>
    </xf>
    <xf numFmtId="0" fontId="8" fillId="3" borderId="37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8" fillId="3" borderId="39" xfId="0" applyFont="1" applyFill="1" applyBorder="1" applyAlignment="1">
      <alignment horizontal="center"/>
    </xf>
    <xf numFmtId="0" fontId="8" fillId="3" borderId="40" xfId="0" applyFont="1" applyFill="1" applyBorder="1" applyAlignment="1">
      <alignment horizontal="center"/>
    </xf>
    <xf numFmtId="49" fontId="7" fillId="3" borderId="19" xfId="5" applyNumberFormat="1" applyFont="1" applyFill="1" applyBorder="1" applyAlignment="1">
      <alignment horizontal="left"/>
    </xf>
    <xf numFmtId="49" fontId="7" fillId="3" borderId="30" xfId="5" applyNumberFormat="1" applyFont="1" applyFill="1" applyBorder="1" applyAlignment="1">
      <alignment horizontal="left"/>
    </xf>
    <xf numFmtId="0" fontId="10" fillId="2" borderId="31" xfId="4" applyFont="1" applyFill="1" applyBorder="1" applyAlignment="1">
      <alignment horizontal="center" wrapText="1"/>
    </xf>
    <xf numFmtId="0" fontId="10" fillId="2" borderId="32" xfId="4" applyFont="1" applyFill="1" applyBorder="1" applyAlignment="1">
      <alignment horizontal="center" wrapText="1"/>
    </xf>
    <xf numFmtId="0" fontId="10" fillId="2" borderId="33" xfId="4" applyFont="1" applyFill="1" applyBorder="1" applyAlignment="1">
      <alignment horizontal="center" wrapText="1"/>
    </xf>
    <xf numFmtId="0" fontId="10" fillId="2" borderId="34" xfId="4" applyFont="1" applyFill="1" applyBorder="1" applyAlignment="1">
      <alignment horizontal="center" wrapText="1"/>
    </xf>
    <xf numFmtId="0" fontId="10" fillId="2" borderId="35" xfId="4" applyFont="1" applyFill="1" applyBorder="1" applyAlignment="1">
      <alignment horizontal="center" wrapText="1"/>
    </xf>
    <xf numFmtId="0" fontId="10" fillId="2" borderId="36" xfId="4" applyFont="1" applyFill="1" applyBorder="1" applyAlignment="1">
      <alignment horizontal="center" wrapText="1"/>
    </xf>
    <xf numFmtId="0" fontId="10" fillId="2" borderId="9" xfId="4" applyFont="1" applyFill="1" applyBorder="1" applyAlignment="1">
      <alignment horizontal="center"/>
    </xf>
    <xf numFmtId="0" fontId="10" fillId="2" borderId="10" xfId="4" applyFont="1" applyFill="1" applyBorder="1" applyAlignment="1">
      <alignment horizontal="center"/>
    </xf>
    <xf numFmtId="0" fontId="10" fillId="2" borderId="10" xfId="4" applyFont="1" applyFill="1" applyBorder="1" applyAlignment="1">
      <alignment horizontal="center" wrapText="1"/>
    </xf>
    <xf numFmtId="43" fontId="10" fillId="2" borderId="10" xfId="1" applyFont="1" applyFill="1" applyBorder="1" applyAlignment="1">
      <alignment horizontal="right"/>
    </xf>
    <xf numFmtId="164" fontId="10" fillId="2" borderId="10" xfId="2" applyFont="1" applyFill="1" applyBorder="1" applyAlignment="1">
      <alignment horizontal="center" wrapText="1"/>
    </xf>
    <xf numFmtId="164" fontId="10" fillId="2" borderId="11" xfId="2" applyFont="1" applyFill="1" applyBorder="1" applyAlignment="1">
      <alignment horizontal="center" wrapText="1"/>
    </xf>
    <xf numFmtId="0" fontId="7" fillId="3" borderId="9" xfId="4" applyFont="1" applyFill="1" applyBorder="1" applyAlignment="1">
      <alignment horizontal="center"/>
    </xf>
    <xf numFmtId="0" fontId="7" fillId="3" borderId="10" xfId="4" applyFont="1" applyFill="1" applyBorder="1" applyAlignment="1">
      <alignment horizontal="center"/>
    </xf>
    <xf numFmtId="0" fontId="7" fillId="3" borderId="11" xfId="4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7" fillId="3" borderId="19" xfId="4" applyFont="1" applyFill="1" applyBorder="1" applyAlignment="1">
      <alignment horizontal="left"/>
    </xf>
    <xf numFmtId="0" fontId="7" fillId="3" borderId="30" xfId="4" applyFont="1" applyFill="1" applyBorder="1" applyAlignment="1">
      <alignment horizontal="left"/>
    </xf>
    <xf numFmtId="0" fontId="8" fillId="3" borderId="37" xfId="0" applyFont="1" applyFill="1" applyBorder="1" applyAlignment="1">
      <alignment horizontal="center" wrapText="1"/>
    </xf>
    <xf numFmtId="0" fontId="8" fillId="3" borderId="38" xfId="0" applyFont="1" applyFill="1" applyBorder="1" applyAlignment="1">
      <alignment horizontal="center" wrapText="1"/>
    </xf>
    <xf numFmtId="0" fontId="8" fillId="3" borderId="39" xfId="0" applyFont="1" applyFill="1" applyBorder="1" applyAlignment="1">
      <alignment horizontal="center" wrapText="1"/>
    </xf>
    <xf numFmtId="0" fontId="8" fillId="3" borderId="40" xfId="0" applyFont="1" applyFill="1" applyBorder="1" applyAlignment="1">
      <alignment horizontal="center" wrapText="1"/>
    </xf>
    <xf numFmtId="164" fontId="7" fillId="3" borderId="41" xfId="2" applyFont="1" applyFill="1" applyBorder="1" applyAlignment="1">
      <alignment horizontal="center" wrapText="1"/>
    </xf>
    <xf numFmtId="164" fontId="7" fillId="3" borderId="42" xfId="2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13" fillId="2" borderId="4" xfId="0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left" wrapText="1"/>
    </xf>
    <xf numFmtId="0" fontId="6" fillId="5" borderId="10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5" fillId="0" borderId="24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6" fillId="2" borderId="2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0">
    <cellStyle name="Moeda" xfId="2" builtinId="4"/>
    <cellStyle name="Normal" xfId="0" builtinId="0"/>
    <cellStyle name="Normal 2 2 10" xfId="9"/>
    <cellStyle name="Normal 2 2 2 2" xfId="4"/>
    <cellStyle name="Normal 2 3" xfId="5"/>
    <cellStyle name="Normal 6 3 10" xfId="7"/>
    <cellStyle name="Porcentagem" xfId="3" builtinId="5"/>
    <cellStyle name="Separador de milhares 2 2" xfId="8"/>
    <cellStyle name="Vírgula" xfId="1" builtinId="3"/>
    <cellStyle name="Vírgula 2 3" xfId="6"/>
  </cellStyles>
  <dxfs count="6">
    <dxf>
      <font>
        <b/>
        <i val="0"/>
      </font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3" tint="0.79998168889431442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  <dxf>
      <font>
        <b/>
        <i val="0"/>
      </font>
      <fill>
        <patternFill>
          <bgColor theme="0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3" tint="0.79998168889431442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531719</xdr:colOff>
      <xdr:row>1</xdr:row>
      <xdr:rowOff>11207</xdr:rowOff>
    </xdr:from>
    <xdr:to>
      <xdr:col>2</xdr:col>
      <xdr:colOff>705970</xdr:colOff>
      <xdr:row>3</xdr:row>
      <xdr:rowOff>280148</xdr:rowOff>
    </xdr:to>
    <xdr:pic>
      <xdr:nvPicPr>
        <xdr:cNvPr id="2" name="Imagem 1" descr="TIMBRE SAO PEDRO"/>
        <xdr:cNvPicPr/>
      </xdr:nvPicPr>
      <xdr:blipFill>
        <a:blip xmlns:r="http://schemas.openxmlformats.org/officeDocument/2006/relationships" r:embed="rId1" cstate="print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766"/>
        <a:stretch>
          <a:fillRect/>
        </a:stretch>
      </xdr:blipFill>
      <xdr:spPr bwMode="auto">
        <a:xfrm>
          <a:off x="531719" y="192182"/>
          <a:ext cx="1450601" cy="10880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207308</xdr:colOff>
      <xdr:row>1</xdr:row>
      <xdr:rowOff>66675</xdr:rowOff>
    </xdr:from>
    <xdr:to>
      <xdr:col>1</xdr:col>
      <xdr:colOff>466725</xdr:colOff>
      <xdr:row>4</xdr:row>
      <xdr:rowOff>190500</xdr:rowOff>
    </xdr:to>
    <xdr:pic>
      <xdr:nvPicPr>
        <xdr:cNvPr id="2" name="Imagem 1" descr="TIMBRE SAO PEDRO"/>
        <xdr:cNvPicPr/>
      </xdr:nvPicPr>
      <xdr:blipFill>
        <a:blip xmlns:r="http://schemas.openxmlformats.org/officeDocument/2006/relationships" r:embed="rId1" cstate="print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766"/>
        <a:stretch>
          <a:fillRect/>
        </a:stretch>
      </xdr:blipFill>
      <xdr:spPr bwMode="auto">
        <a:xfrm>
          <a:off x="207308" y="266700"/>
          <a:ext cx="869017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531719</xdr:colOff>
      <xdr:row>1</xdr:row>
      <xdr:rowOff>11207</xdr:rowOff>
    </xdr:from>
    <xdr:to>
      <xdr:col>2</xdr:col>
      <xdr:colOff>705970</xdr:colOff>
      <xdr:row>3</xdr:row>
      <xdr:rowOff>280148</xdr:rowOff>
    </xdr:to>
    <xdr:pic>
      <xdr:nvPicPr>
        <xdr:cNvPr id="3" name="Imagem 2" descr="TIMBRE SAO PEDRO"/>
        <xdr:cNvPicPr/>
      </xdr:nvPicPr>
      <xdr:blipFill>
        <a:blip xmlns:r="http://schemas.openxmlformats.org/officeDocument/2006/relationships" r:embed="rId1" cstate="print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766"/>
        <a:stretch>
          <a:fillRect/>
        </a:stretch>
      </xdr:blipFill>
      <xdr:spPr bwMode="auto">
        <a:xfrm>
          <a:off x="531719" y="190501"/>
          <a:ext cx="1451722" cy="109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207308</xdr:colOff>
      <xdr:row>1</xdr:row>
      <xdr:rowOff>66675</xdr:rowOff>
    </xdr:from>
    <xdr:to>
      <xdr:col>1</xdr:col>
      <xdr:colOff>466725</xdr:colOff>
      <xdr:row>4</xdr:row>
      <xdr:rowOff>190500</xdr:rowOff>
    </xdr:to>
    <xdr:pic>
      <xdr:nvPicPr>
        <xdr:cNvPr id="2" name="Imagem 1" descr="TIMBRE SAO PEDRO"/>
        <xdr:cNvPicPr/>
      </xdr:nvPicPr>
      <xdr:blipFill>
        <a:blip xmlns:r="http://schemas.openxmlformats.org/officeDocument/2006/relationships" r:embed="rId1" cstate="print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766"/>
        <a:stretch>
          <a:fillRect/>
        </a:stretch>
      </xdr:blipFill>
      <xdr:spPr bwMode="auto">
        <a:xfrm>
          <a:off x="207308" y="66675"/>
          <a:ext cx="869017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zoomScale="85" zoomScaleNormal="85" workbookViewId="0">
      <selection activeCell="B6" sqref="B6:C6"/>
    </sheetView>
  </sheetViews>
  <sheetFormatPr defaultRowHeight="14.25" x14ac:dyDescent="0.2"/>
  <cols>
    <col min="1" max="1" width="9.140625" style="13"/>
    <col min="2" max="2" width="10" style="13" customWidth="1"/>
    <col min="3" max="3" width="125.28515625" style="14" bestFit="1" customWidth="1"/>
    <col min="4" max="4" width="6.85546875" style="13" bestFit="1" customWidth="1"/>
    <col min="5" max="5" width="12" style="15" customWidth="1"/>
    <col min="6" max="6" width="12.5703125" style="16" bestFit="1" customWidth="1"/>
    <col min="7" max="7" width="18.28515625" style="16" bestFit="1" customWidth="1"/>
    <col min="8" max="8" width="15.5703125" style="16" bestFit="1" customWidth="1"/>
    <col min="9" max="9" width="13.85546875" style="17" bestFit="1" customWidth="1"/>
    <col min="10" max="10" width="16.28515625" style="17" bestFit="1" customWidth="1"/>
    <col min="11" max="11" width="14.5703125" style="17" bestFit="1" customWidth="1"/>
    <col min="12" max="16384" width="9.140625" style="17"/>
  </cols>
  <sheetData>
    <row r="1" spans="1:11" ht="14.25" customHeight="1" x14ac:dyDescent="0.2">
      <c r="A1" s="119" t="s">
        <v>92</v>
      </c>
      <c r="B1" s="120"/>
      <c r="C1" s="120"/>
      <c r="D1" s="120"/>
      <c r="E1" s="120"/>
      <c r="F1" s="120"/>
      <c r="G1" s="120"/>
      <c r="H1" s="121"/>
    </row>
    <row r="2" spans="1:11" ht="32.25" customHeight="1" x14ac:dyDescent="0.2">
      <c r="A2" s="122"/>
      <c r="B2" s="123"/>
      <c r="C2" s="123"/>
      <c r="D2" s="123"/>
      <c r="E2" s="123"/>
      <c r="F2" s="123"/>
      <c r="G2" s="123"/>
      <c r="H2" s="124"/>
    </row>
    <row r="3" spans="1:11" ht="32.25" customHeight="1" x14ac:dyDescent="0.2">
      <c r="A3" s="122"/>
      <c r="B3" s="123"/>
      <c r="C3" s="123"/>
      <c r="D3" s="123"/>
      <c r="E3" s="123"/>
      <c r="F3" s="123"/>
      <c r="G3" s="123"/>
      <c r="H3" s="124"/>
    </row>
    <row r="4" spans="1:11" ht="30.75" customHeight="1" thickBot="1" x14ac:dyDescent="0.25">
      <c r="A4" s="125"/>
      <c r="B4" s="126"/>
      <c r="C4" s="126"/>
      <c r="D4" s="126"/>
      <c r="E4" s="126"/>
      <c r="F4" s="126"/>
      <c r="G4" s="126"/>
      <c r="H4" s="127"/>
    </row>
    <row r="5" spans="1:11" ht="15" customHeight="1" x14ac:dyDescent="0.25">
      <c r="A5" s="18" t="s">
        <v>0</v>
      </c>
      <c r="B5" s="128" t="s">
        <v>132</v>
      </c>
      <c r="C5" s="129"/>
      <c r="D5" s="130" t="s">
        <v>1</v>
      </c>
      <c r="E5" s="131"/>
      <c r="F5" s="134"/>
      <c r="G5" s="134" t="s">
        <v>39</v>
      </c>
      <c r="H5" s="46"/>
    </row>
    <row r="6" spans="1:11" ht="14.25" customHeight="1" x14ac:dyDescent="0.25">
      <c r="A6" s="18" t="s">
        <v>20</v>
      </c>
      <c r="B6" s="96" t="s">
        <v>126</v>
      </c>
      <c r="C6" s="97"/>
      <c r="D6" s="132"/>
      <c r="E6" s="133"/>
      <c r="F6" s="135"/>
      <c r="G6" s="135"/>
      <c r="H6" s="46"/>
    </row>
    <row r="7" spans="1:11" ht="15" customHeight="1" x14ac:dyDescent="0.25">
      <c r="A7" s="18" t="s">
        <v>2</v>
      </c>
      <c r="B7" s="96"/>
      <c r="C7" s="97"/>
      <c r="D7" s="98" t="s">
        <v>3</v>
      </c>
      <c r="E7" s="99"/>
      <c r="F7" s="43" t="s">
        <v>18</v>
      </c>
      <c r="G7" s="19">
        <v>0.25</v>
      </c>
      <c r="H7" s="46"/>
    </row>
    <row r="8" spans="1:11" ht="15" x14ac:dyDescent="0.25">
      <c r="A8" s="18" t="s">
        <v>21</v>
      </c>
      <c r="B8" s="102"/>
      <c r="C8" s="103"/>
      <c r="D8" s="100"/>
      <c r="E8" s="101"/>
      <c r="F8" s="20"/>
      <c r="G8" s="20"/>
      <c r="H8" s="21"/>
    </row>
    <row r="9" spans="1:11" ht="14.25" customHeight="1" x14ac:dyDescent="0.2">
      <c r="A9" s="104" t="s">
        <v>4</v>
      </c>
      <c r="B9" s="105"/>
      <c r="C9" s="105"/>
      <c r="D9" s="105"/>
      <c r="E9" s="105"/>
      <c r="F9" s="105"/>
      <c r="G9" s="105"/>
      <c r="H9" s="106"/>
      <c r="I9" s="47"/>
    </row>
    <row r="10" spans="1:11" ht="12" customHeight="1" x14ac:dyDescent="0.2">
      <c r="A10" s="107"/>
      <c r="B10" s="108"/>
      <c r="C10" s="108"/>
      <c r="D10" s="108"/>
      <c r="E10" s="108"/>
      <c r="F10" s="108"/>
      <c r="G10" s="108"/>
      <c r="H10" s="109"/>
    </row>
    <row r="11" spans="1:11" x14ac:dyDescent="0.2">
      <c r="A11" s="110" t="s">
        <v>5</v>
      </c>
      <c r="B11" s="111" t="s">
        <v>6</v>
      </c>
      <c r="C11" s="112" t="s">
        <v>7</v>
      </c>
      <c r="D11" s="112" t="s">
        <v>8</v>
      </c>
      <c r="E11" s="113" t="s">
        <v>9</v>
      </c>
      <c r="F11" s="114" t="s">
        <v>16</v>
      </c>
      <c r="G11" s="114" t="s">
        <v>19</v>
      </c>
      <c r="H11" s="115" t="s">
        <v>10</v>
      </c>
    </row>
    <row r="12" spans="1:11" x14ac:dyDescent="0.2">
      <c r="A12" s="110"/>
      <c r="B12" s="111"/>
      <c r="C12" s="112"/>
      <c r="D12" s="112"/>
      <c r="E12" s="113"/>
      <c r="F12" s="114"/>
      <c r="G12" s="114"/>
      <c r="H12" s="115"/>
    </row>
    <row r="13" spans="1:11" ht="15" x14ac:dyDescent="0.25">
      <c r="A13" s="116"/>
      <c r="B13" s="117"/>
      <c r="C13" s="117"/>
      <c r="D13" s="117"/>
      <c r="E13" s="117"/>
      <c r="F13" s="117"/>
      <c r="G13" s="117"/>
      <c r="H13" s="118"/>
    </row>
    <row r="14" spans="1:11" ht="15" x14ac:dyDescent="0.25">
      <c r="A14" s="27" t="s">
        <v>14</v>
      </c>
      <c r="B14" s="28"/>
      <c r="C14" s="28" t="s">
        <v>25</v>
      </c>
      <c r="D14" s="28"/>
      <c r="E14" s="28"/>
      <c r="F14" s="94" t="s">
        <v>58</v>
      </c>
      <c r="G14" s="95"/>
      <c r="H14" s="37">
        <f>H15+H16+H17</f>
        <v>20748</v>
      </c>
      <c r="K14" s="41"/>
    </row>
    <row r="15" spans="1:11" x14ac:dyDescent="0.2">
      <c r="A15" s="44" t="s">
        <v>98</v>
      </c>
      <c r="B15" s="44">
        <v>90778</v>
      </c>
      <c r="C15" s="9" t="s">
        <v>22</v>
      </c>
      <c r="D15" s="45" t="s">
        <v>23</v>
      </c>
      <c r="E15" s="7">
        <v>24</v>
      </c>
      <c r="F15" s="6">
        <v>122.63</v>
      </c>
      <c r="G15" s="6">
        <f>TRUNC(F15*$G$7+F15,2)</f>
        <v>153.28</v>
      </c>
      <c r="H15" s="12">
        <f>TRUNC(G15*E15,2)</f>
        <v>3678.72</v>
      </c>
    </row>
    <row r="16" spans="1:11" x14ac:dyDescent="0.2">
      <c r="A16" s="44" t="s">
        <v>99</v>
      </c>
      <c r="B16" s="45">
        <v>90780</v>
      </c>
      <c r="C16" s="9" t="s">
        <v>24</v>
      </c>
      <c r="D16" s="45" t="s">
        <v>23</v>
      </c>
      <c r="E16" s="7">
        <v>144</v>
      </c>
      <c r="F16" s="6">
        <v>57.8</v>
      </c>
      <c r="G16" s="6">
        <f t="shared" ref="G16:G55" si="0">TRUNC(F16*$G$7+F16,2)</f>
        <v>72.25</v>
      </c>
      <c r="H16" s="12">
        <f t="shared" ref="H16:H30" si="1">TRUNC(G16*E16,2)</f>
        <v>10404</v>
      </c>
    </row>
    <row r="17" spans="1:11" ht="28.5" x14ac:dyDescent="0.2">
      <c r="A17" s="44" t="s">
        <v>100</v>
      </c>
      <c r="B17" s="45">
        <v>93584</v>
      </c>
      <c r="C17" s="9" t="s">
        <v>97</v>
      </c>
      <c r="D17" s="45" t="s">
        <v>12</v>
      </c>
      <c r="E17" s="7">
        <v>6</v>
      </c>
      <c r="F17" s="6">
        <v>888.71</v>
      </c>
      <c r="G17" s="6">
        <f t="shared" si="0"/>
        <v>1110.8800000000001</v>
      </c>
      <c r="H17" s="12">
        <f t="shared" si="1"/>
        <v>6665.28</v>
      </c>
    </row>
    <row r="18" spans="1:11" x14ac:dyDescent="0.2">
      <c r="A18" s="44"/>
      <c r="B18" s="45"/>
      <c r="C18" s="9"/>
      <c r="D18" s="45"/>
      <c r="E18" s="7"/>
      <c r="F18" s="49"/>
      <c r="G18" s="50"/>
      <c r="H18" s="12"/>
    </row>
    <row r="19" spans="1:11" ht="15" x14ac:dyDescent="0.2">
      <c r="A19" s="22" t="s">
        <v>26</v>
      </c>
      <c r="B19" s="23"/>
      <c r="C19" s="24" t="s">
        <v>27</v>
      </c>
      <c r="D19" s="23"/>
      <c r="E19" s="36"/>
      <c r="F19" s="94" t="s">
        <v>58</v>
      </c>
      <c r="G19" s="95"/>
      <c r="H19" s="37">
        <f>H20+H21</f>
        <v>2221.38</v>
      </c>
      <c r="K19" s="41"/>
    </row>
    <row r="20" spans="1:11" x14ac:dyDescent="0.2">
      <c r="A20" s="44" t="s">
        <v>101</v>
      </c>
      <c r="B20" s="45">
        <v>97082</v>
      </c>
      <c r="C20" s="9" t="s">
        <v>28</v>
      </c>
      <c r="D20" s="45" t="s">
        <v>30</v>
      </c>
      <c r="E20" s="7">
        <f>'memorial corrego seco (2)'!H5</f>
        <v>28</v>
      </c>
      <c r="F20" s="6">
        <v>56.01</v>
      </c>
      <c r="G20" s="6">
        <f t="shared" si="0"/>
        <v>70.010000000000005</v>
      </c>
      <c r="H20" s="12">
        <f t="shared" si="1"/>
        <v>1960.28</v>
      </c>
    </row>
    <row r="21" spans="1:11" ht="28.5" x14ac:dyDescent="0.2">
      <c r="A21" s="44" t="s">
        <v>102</v>
      </c>
      <c r="B21" s="45">
        <v>97083</v>
      </c>
      <c r="C21" s="9" t="s">
        <v>29</v>
      </c>
      <c r="D21" s="45" t="s">
        <v>12</v>
      </c>
      <c r="E21" s="7">
        <f>'memorial corrego seco (2)'!G3</f>
        <v>70</v>
      </c>
      <c r="F21" s="6">
        <v>2.99</v>
      </c>
      <c r="G21" s="6">
        <f t="shared" si="0"/>
        <v>3.73</v>
      </c>
      <c r="H21" s="12">
        <f t="shared" si="1"/>
        <v>261.10000000000002</v>
      </c>
    </row>
    <row r="22" spans="1:11" x14ac:dyDescent="0.2">
      <c r="A22" s="44"/>
      <c r="B22" s="45"/>
      <c r="C22" s="9"/>
      <c r="D22" s="45"/>
      <c r="E22" s="7"/>
      <c r="F22" s="6"/>
      <c r="G22" s="6"/>
      <c r="H22" s="17"/>
    </row>
    <row r="23" spans="1:11" ht="15" x14ac:dyDescent="0.2">
      <c r="A23" s="22" t="s">
        <v>31</v>
      </c>
      <c r="B23" s="25"/>
      <c r="C23" s="24" t="s">
        <v>32</v>
      </c>
      <c r="D23" s="25"/>
      <c r="E23" s="26"/>
      <c r="F23" s="94" t="s">
        <v>58</v>
      </c>
      <c r="G23" s="95"/>
      <c r="H23" s="37">
        <f>H24+H25+H26</f>
        <v>35184.1</v>
      </c>
    </row>
    <row r="24" spans="1:11" ht="28.5" x14ac:dyDescent="0.2">
      <c r="A24" s="44" t="s">
        <v>103</v>
      </c>
      <c r="B24" s="45">
        <v>97086</v>
      </c>
      <c r="C24" s="9" t="s">
        <v>33</v>
      </c>
      <c r="D24" s="45" t="s">
        <v>12</v>
      </c>
      <c r="E24" s="7">
        <f>'memorial corrego seco (2)'!B14</f>
        <v>21.7</v>
      </c>
      <c r="F24" s="6">
        <v>117.97</v>
      </c>
      <c r="G24" s="6">
        <f t="shared" si="0"/>
        <v>147.46</v>
      </c>
      <c r="H24" s="12">
        <f t="shared" si="1"/>
        <v>3199.88</v>
      </c>
    </row>
    <row r="25" spans="1:11" ht="28.5" x14ac:dyDescent="0.2">
      <c r="A25" s="44" t="s">
        <v>104</v>
      </c>
      <c r="B25" s="45">
        <v>92770</v>
      </c>
      <c r="C25" s="9" t="s">
        <v>35</v>
      </c>
      <c r="D25" s="45" t="s">
        <v>59</v>
      </c>
      <c r="E25" s="7">
        <f>'memorial corrego seco (2)'!I15</f>
        <v>809.75</v>
      </c>
      <c r="F25" s="6">
        <v>14.06</v>
      </c>
      <c r="G25" s="6">
        <f t="shared" si="0"/>
        <v>17.57</v>
      </c>
      <c r="H25" s="12">
        <f t="shared" si="1"/>
        <v>14227.3</v>
      </c>
    </row>
    <row r="26" spans="1:11" ht="28.5" x14ac:dyDescent="0.2">
      <c r="A26" s="44" t="s">
        <v>105</v>
      </c>
      <c r="B26" s="45">
        <v>97096</v>
      </c>
      <c r="C26" s="9" t="s">
        <v>34</v>
      </c>
      <c r="D26" s="45" t="s">
        <v>30</v>
      </c>
      <c r="E26" s="7">
        <f>'memorial corrego seco (2)'!B18</f>
        <v>16.8</v>
      </c>
      <c r="F26" s="6">
        <v>845.57</v>
      </c>
      <c r="G26" s="6">
        <f t="shared" si="0"/>
        <v>1056.96</v>
      </c>
      <c r="H26" s="12">
        <f t="shared" si="1"/>
        <v>17756.919999999998</v>
      </c>
    </row>
    <row r="27" spans="1:11" x14ac:dyDescent="0.2">
      <c r="A27" s="44"/>
      <c r="B27" s="45"/>
      <c r="C27" s="9"/>
      <c r="D27" s="45"/>
      <c r="E27" s="7"/>
      <c r="F27" s="6"/>
      <c r="G27" s="6"/>
      <c r="H27" s="12"/>
    </row>
    <row r="28" spans="1:11" ht="15" x14ac:dyDescent="0.2">
      <c r="A28" s="22" t="s">
        <v>36</v>
      </c>
      <c r="B28" s="23"/>
      <c r="C28" s="24" t="s">
        <v>37</v>
      </c>
      <c r="D28" s="25"/>
      <c r="E28" s="26"/>
      <c r="F28" s="94" t="s">
        <v>58</v>
      </c>
      <c r="G28" s="95"/>
      <c r="H28" s="37">
        <f>H29+H30</f>
        <v>26912.35</v>
      </c>
    </row>
    <row r="29" spans="1:11" ht="28.5" x14ac:dyDescent="0.2">
      <c r="A29" s="44" t="s">
        <v>106</v>
      </c>
      <c r="B29" s="45">
        <v>89480</v>
      </c>
      <c r="C29" s="9" t="s">
        <v>38</v>
      </c>
      <c r="D29" s="45" t="s">
        <v>12</v>
      </c>
      <c r="E29" s="7">
        <f>'memorial corrego seco (2)'!G20</f>
        <v>84</v>
      </c>
      <c r="F29" s="6">
        <v>154.84</v>
      </c>
      <c r="G29" s="6">
        <f t="shared" si="0"/>
        <v>193.55</v>
      </c>
      <c r="H29" s="12">
        <f t="shared" si="1"/>
        <v>16258.2</v>
      </c>
    </row>
    <row r="30" spans="1:11" ht="28.5" x14ac:dyDescent="0.2">
      <c r="A30" s="44" t="s">
        <v>107</v>
      </c>
      <c r="B30" s="45">
        <v>97096</v>
      </c>
      <c r="C30" s="9" t="s">
        <v>86</v>
      </c>
      <c r="D30" s="45" t="s">
        <v>30</v>
      </c>
      <c r="E30" s="7">
        <f>E29*0.12</f>
        <v>10.08</v>
      </c>
      <c r="F30" s="6">
        <v>845.57</v>
      </c>
      <c r="G30" s="6">
        <f t="shared" si="0"/>
        <v>1056.96</v>
      </c>
      <c r="H30" s="12">
        <f t="shared" si="1"/>
        <v>10654.15</v>
      </c>
    </row>
    <row r="31" spans="1:11" x14ac:dyDescent="0.2">
      <c r="A31" s="44"/>
      <c r="B31" s="45"/>
      <c r="C31" s="9"/>
      <c r="D31" s="45"/>
      <c r="E31" s="7"/>
      <c r="F31" s="6"/>
      <c r="G31" s="6"/>
      <c r="H31" s="12"/>
    </row>
    <row r="32" spans="1:11" ht="15" x14ac:dyDescent="0.2">
      <c r="A32" s="22" t="s">
        <v>40</v>
      </c>
      <c r="B32" s="23"/>
      <c r="C32" s="24" t="s">
        <v>84</v>
      </c>
      <c r="D32" s="25"/>
      <c r="E32" s="26"/>
      <c r="F32" s="94" t="s">
        <v>58</v>
      </c>
      <c r="G32" s="95"/>
      <c r="H32" s="37">
        <f>H33+H34+H35</f>
        <v>6814.9599999999991</v>
      </c>
    </row>
    <row r="33" spans="1:9" x14ac:dyDescent="0.2">
      <c r="A33" s="44" t="s">
        <v>108</v>
      </c>
      <c r="B33" s="45">
        <v>92270</v>
      </c>
      <c r="C33" s="9" t="s">
        <v>41</v>
      </c>
      <c r="D33" s="45" t="s">
        <v>12</v>
      </c>
      <c r="E33" s="7">
        <f>'memorial corrego seco (2)'!C30</f>
        <v>8.1</v>
      </c>
      <c r="F33" s="6">
        <v>158.07</v>
      </c>
      <c r="G33" s="6">
        <f t="shared" si="0"/>
        <v>197.58</v>
      </c>
      <c r="H33" s="12">
        <f t="shared" ref="H33:H47" si="2">TRUNC(G33*E33,2)</f>
        <v>1600.39</v>
      </c>
    </row>
    <row r="34" spans="1:9" ht="28.5" x14ac:dyDescent="0.2">
      <c r="A34" s="44" t="s">
        <v>109</v>
      </c>
      <c r="B34" s="45">
        <v>92762</v>
      </c>
      <c r="C34" s="9" t="s">
        <v>42</v>
      </c>
      <c r="D34" s="45" t="s">
        <v>43</v>
      </c>
      <c r="E34" s="7">
        <f>'memorial corrego seco (2)'!I25</f>
        <v>177.696</v>
      </c>
      <c r="F34" s="6">
        <v>13.09</v>
      </c>
      <c r="G34" s="6">
        <f t="shared" si="0"/>
        <v>16.36</v>
      </c>
      <c r="H34" s="12">
        <f t="shared" si="2"/>
        <v>2907.1</v>
      </c>
    </row>
    <row r="35" spans="1:9" ht="28.5" x14ac:dyDescent="0.2">
      <c r="A35" s="44" t="s">
        <v>110</v>
      </c>
      <c r="B35" s="45">
        <v>96555</v>
      </c>
      <c r="C35" s="9" t="s">
        <v>44</v>
      </c>
      <c r="D35" s="45" t="s">
        <v>30</v>
      </c>
      <c r="E35" s="7">
        <f>'memorial corrego seco (2)'!C25</f>
        <v>2.4300000000000002</v>
      </c>
      <c r="F35" s="6">
        <v>759.67</v>
      </c>
      <c r="G35" s="6">
        <f t="shared" si="0"/>
        <v>949.58</v>
      </c>
      <c r="H35" s="12">
        <f t="shared" si="2"/>
        <v>2307.4699999999998</v>
      </c>
    </row>
    <row r="36" spans="1:9" x14ac:dyDescent="0.2">
      <c r="A36" s="44"/>
      <c r="B36" s="45"/>
      <c r="C36" s="9"/>
      <c r="D36" s="45"/>
      <c r="E36" s="7"/>
      <c r="F36" s="6"/>
      <c r="G36" s="6"/>
      <c r="H36" s="12"/>
    </row>
    <row r="37" spans="1:9" ht="15" x14ac:dyDescent="0.2">
      <c r="A37" s="22" t="s">
        <v>46</v>
      </c>
      <c r="B37" s="23"/>
      <c r="C37" s="24" t="s">
        <v>85</v>
      </c>
      <c r="D37" s="25"/>
      <c r="E37" s="26"/>
      <c r="F37" s="94" t="s">
        <v>58</v>
      </c>
      <c r="G37" s="95"/>
      <c r="H37" s="37">
        <f>H38+H39+H40</f>
        <v>7560.49</v>
      </c>
    </row>
    <row r="38" spans="1:9" x14ac:dyDescent="0.2">
      <c r="A38" s="44" t="s">
        <v>111</v>
      </c>
      <c r="B38" s="45">
        <v>92270</v>
      </c>
      <c r="C38" s="9" t="s">
        <v>41</v>
      </c>
      <c r="D38" s="45" t="s">
        <v>12</v>
      </c>
      <c r="E38" s="7">
        <f>'memorial corrego seco (2)'!C31</f>
        <v>12.5</v>
      </c>
      <c r="F38" s="6">
        <v>158.07</v>
      </c>
      <c r="G38" s="6">
        <f t="shared" si="0"/>
        <v>197.58</v>
      </c>
      <c r="H38" s="12">
        <f t="shared" ref="H38:H40" si="3">TRUNC(G38*E38,2)</f>
        <v>2469.75</v>
      </c>
    </row>
    <row r="39" spans="1:9" ht="28.5" x14ac:dyDescent="0.2">
      <c r="A39" s="44" t="s">
        <v>112</v>
      </c>
      <c r="B39" s="45">
        <v>92762</v>
      </c>
      <c r="C39" s="9" t="s">
        <v>42</v>
      </c>
      <c r="D39" s="45" t="s">
        <v>43</v>
      </c>
      <c r="E39" s="7">
        <f>'memorial corrego seco (2)'!I26</f>
        <v>128.33600000000001</v>
      </c>
      <c r="F39" s="6">
        <v>13.09</v>
      </c>
      <c r="G39" s="6">
        <f t="shared" si="0"/>
        <v>16.36</v>
      </c>
      <c r="H39" s="12">
        <f t="shared" si="3"/>
        <v>2099.5700000000002</v>
      </c>
    </row>
    <row r="40" spans="1:9" ht="28.5" x14ac:dyDescent="0.2">
      <c r="A40" s="44" t="s">
        <v>113</v>
      </c>
      <c r="B40" s="45">
        <v>96555</v>
      </c>
      <c r="C40" s="9" t="s">
        <v>44</v>
      </c>
      <c r="D40" s="45" t="s">
        <v>30</v>
      </c>
      <c r="E40" s="7">
        <f>'memorial corrego seco (2)'!C26</f>
        <v>3.1499999999999995</v>
      </c>
      <c r="F40" s="6">
        <v>759.67</v>
      </c>
      <c r="G40" s="6">
        <f t="shared" si="0"/>
        <v>949.58</v>
      </c>
      <c r="H40" s="12">
        <f t="shared" si="3"/>
        <v>2991.17</v>
      </c>
    </row>
    <row r="41" spans="1:9" x14ac:dyDescent="0.2">
      <c r="A41" s="44"/>
      <c r="B41" s="45"/>
      <c r="C41" s="9"/>
      <c r="D41" s="45"/>
      <c r="E41" s="7"/>
      <c r="F41" s="6"/>
      <c r="G41" s="6"/>
      <c r="H41" s="12"/>
    </row>
    <row r="42" spans="1:9" x14ac:dyDescent="0.2">
      <c r="A42" s="44"/>
      <c r="B42" s="45"/>
      <c r="C42" s="9"/>
      <c r="D42" s="45"/>
      <c r="E42" s="7"/>
      <c r="F42" s="6"/>
      <c r="G42" s="6"/>
      <c r="H42" s="12"/>
      <c r="I42" s="40"/>
    </row>
    <row r="43" spans="1:9" ht="15" x14ac:dyDescent="0.2">
      <c r="A43" s="22" t="s">
        <v>94</v>
      </c>
      <c r="B43" s="23"/>
      <c r="C43" s="24" t="s">
        <v>45</v>
      </c>
      <c r="D43" s="25"/>
      <c r="E43" s="26"/>
      <c r="F43" s="94" t="s">
        <v>58</v>
      </c>
      <c r="G43" s="95"/>
      <c r="H43" s="37">
        <f>H44+H45+H46+H47</f>
        <v>44108.01</v>
      </c>
      <c r="I43" s="40"/>
    </row>
    <row r="44" spans="1:9" ht="28.5" x14ac:dyDescent="0.2">
      <c r="A44" s="44" t="s">
        <v>114</v>
      </c>
      <c r="B44" s="45">
        <v>92482</v>
      </c>
      <c r="C44" s="9" t="s">
        <v>47</v>
      </c>
      <c r="D44" s="45" t="s">
        <v>12</v>
      </c>
      <c r="E44" s="7">
        <f>'memorial corrego seco (2)'!B16</f>
        <v>42</v>
      </c>
      <c r="F44" s="6">
        <v>209.85</v>
      </c>
      <c r="G44" s="6">
        <f t="shared" si="0"/>
        <v>262.31</v>
      </c>
      <c r="H44" s="12">
        <f t="shared" si="2"/>
        <v>11017.02</v>
      </c>
      <c r="I44" s="40"/>
    </row>
    <row r="45" spans="1:9" ht="28.5" x14ac:dyDescent="0.2">
      <c r="A45" s="44" t="s">
        <v>115</v>
      </c>
      <c r="B45" s="45">
        <v>101792</v>
      </c>
      <c r="C45" s="9" t="s">
        <v>48</v>
      </c>
      <c r="D45" s="45" t="s">
        <v>70</v>
      </c>
      <c r="E45" s="7">
        <f>E44</f>
        <v>42</v>
      </c>
      <c r="F45" s="6">
        <v>18.739999999999998</v>
      </c>
      <c r="G45" s="6">
        <f t="shared" si="0"/>
        <v>23.42</v>
      </c>
      <c r="H45" s="12">
        <f t="shared" si="2"/>
        <v>983.64</v>
      </c>
      <c r="I45" s="40"/>
    </row>
    <row r="46" spans="1:9" ht="28.5" x14ac:dyDescent="0.2">
      <c r="A46" s="44" t="s">
        <v>116</v>
      </c>
      <c r="B46" s="48">
        <v>92771</v>
      </c>
      <c r="C46" s="9" t="s">
        <v>131</v>
      </c>
      <c r="D46" s="45" t="s">
        <v>43</v>
      </c>
      <c r="E46" s="7">
        <f>'memorial corrego seco (2)'!I15</f>
        <v>809.75</v>
      </c>
      <c r="F46" s="6">
        <v>12.69</v>
      </c>
      <c r="G46" s="6">
        <f t="shared" si="0"/>
        <v>15.86</v>
      </c>
      <c r="H46" s="12">
        <f t="shared" si="2"/>
        <v>12842.63</v>
      </c>
      <c r="I46" s="40"/>
    </row>
    <row r="47" spans="1:9" ht="28.5" x14ac:dyDescent="0.2">
      <c r="A47" s="44" t="s">
        <v>117</v>
      </c>
      <c r="B47" s="45">
        <v>99431</v>
      </c>
      <c r="C47" s="9" t="s">
        <v>49</v>
      </c>
      <c r="D47" s="45" t="s">
        <v>30</v>
      </c>
      <c r="E47" s="7">
        <f>E26</f>
        <v>16.8</v>
      </c>
      <c r="F47" s="6">
        <v>917.37</v>
      </c>
      <c r="G47" s="6">
        <f t="shared" si="0"/>
        <v>1146.71</v>
      </c>
      <c r="H47" s="12">
        <f t="shared" si="2"/>
        <v>19264.72</v>
      </c>
      <c r="I47" s="40"/>
    </row>
    <row r="48" spans="1:9" x14ac:dyDescent="0.2">
      <c r="A48" s="44"/>
      <c r="B48" s="45"/>
      <c r="C48" s="9"/>
      <c r="D48" s="45"/>
      <c r="E48" s="7"/>
      <c r="F48" s="6"/>
      <c r="G48" s="6"/>
      <c r="H48" s="12"/>
      <c r="I48" s="40"/>
    </row>
    <row r="49" spans="1:10" ht="15" x14ac:dyDescent="0.2">
      <c r="A49" s="22" t="s">
        <v>95</v>
      </c>
      <c r="B49" s="23"/>
      <c r="C49" s="24" t="s">
        <v>78</v>
      </c>
      <c r="D49" s="25"/>
      <c r="E49" s="26"/>
      <c r="F49" s="94" t="s">
        <v>58</v>
      </c>
      <c r="G49" s="95"/>
      <c r="H49" s="37">
        <f>H50+H51+H52+H53</f>
        <v>14613.6</v>
      </c>
      <c r="I49" s="40"/>
    </row>
    <row r="50" spans="1:10" ht="28.5" x14ac:dyDescent="0.2">
      <c r="A50" s="44" t="s">
        <v>118</v>
      </c>
      <c r="B50" s="45">
        <v>89464</v>
      </c>
      <c r="C50" s="9" t="s">
        <v>38</v>
      </c>
      <c r="D50" s="45" t="s">
        <v>12</v>
      </c>
      <c r="E50" s="7">
        <f>'memorial corrego seco (2)'!G29</f>
        <v>12</v>
      </c>
      <c r="F50" s="6">
        <v>136.78</v>
      </c>
      <c r="G50" s="6">
        <f t="shared" si="0"/>
        <v>170.97</v>
      </c>
      <c r="H50" s="12">
        <f t="shared" ref="H50:H55" si="4">TRUNC(G50*E50,2)</f>
        <v>2051.64</v>
      </c>
      <c r="I50" s="40"/>
    </row>
    <row r="51" spans="1:10" ht="28.5" x14ac:dyDescent="0.2">
      <c r="A51" s="44" t="s">
        <v>119</v>
      </c>
      <c r="B51" s="45">
        <v>97096</v>
      </c>
      <c r="C51" s="9" t="s">
        <v>80</v>
      </c>
      <c r="D51" s="45" t="s">
        <v>30</v>
      </c>
      <c r="E51" s="7">
        <f>'memorial corrego seco (2)'!H30+'memorial corrego seco (2)'!H31</f>
        <v>8.1274999999999995</v>
      </c>
      <c r="F51" s="6">
        <v>845.57</v>
      </c>
      <c r="G51" s="6">
        <f t="shared" si="0"/>
        <v>1056.96</v>
      </c>
      <c r="H51" s="12">
        <f t="shared" si="4"/>
        <v>8590.44</v>
      </c>
      <c r="I51" s="40"/>
      <c r="J51" s="40"/>
    </row>
    <row r="52" spans="1:10" ht="28.5" x14ac:dyDescent="0.2">
      <c r="A52" s="44" t="s">
        <v>120</v>
      </c>
      <c r="B52" s="45">
        <v>97096</v>
      </c>
      <c r="C52" s="9" t="s">
        <v>83</v>
      </c>
      <c r="D52" s="45" t="s">
        <v>30</v>
      </c>
      <c r="E52" s="7">
        <f>'memorial corrego seco (2)'!G30</f>
        <v>3.7574999999999998</v>
      </c>
      <c r="F52" s="6">
        <v>845.57</v>
      </c>
      <c r="G52" s="6">
        <f t="shared" si="0"/>
        <v>1056.96</v>
      </c>
      <c r="H52" s="12">
        <f t="shared" si="4"/>
        <v>3971.52</v>
      </c>
      <c r="I52" s="40"/>
      <c r="J52" s="40"/>
    </row>
    <row r="53" spans="1:10" x14ac:dyDescent="0.2">
      <c r="A53" s="44"/>
      <c r="B53" s="45"/>
      <c r="C53" s="9"/>
      <c r="D53" s="45"/>
      <c r="E53" s="7"/>
      <c r="F53" s="6"/>
      <c r="G53" s="6">
        <f t="shared" si="0"/>
        <v>0</v>
      </c>
      <c r="H53" s="12">
        <f t="shared" si="4"/>
        <v>0</v>
      </c>
      <c r="I53" s="40"/>
    </row>
    <row r="54" spans="1:10" ht="15" x14ac:dyDescent="0.2">
      <c r="A54" s="22" t="s">
        <v>96</v>
      </c>
      <c r="B54" s="23"/>
      <c r="C54" s="24" t="s">
        <v>87</v>
      </c>
      <c r="D54" s="25"/>
      <c r="E54" s="26"/>
      <c r="F54" s="94" t="s">
        <v>58</v>
      </c>
      <c r="G54" s="95"/>
      <c r="H54" s="37">
        <f>H55</f>
        <v>26104</v>
      </c>
      <c r="I54" s="40"/>
    </row>
    <row r="55" spans="1:10" ht="42.75" x14ac:dyDescent="0.2">
      <c r="A55" s="44" t="s">
        <v>121</v>
      </c>
      <c r="B55" s="45">
        <v>101238</v>
      </c>
      <c r="C55" s="9" t="s">
        <v>88</v>
      </c>
      <c r="D55" s="45" t="s">
        <v>30</v>
      </c>
      <c r="E55" s="7">
        <f>'memorial corrego seco (2)'!B36</f>
        <v>800</v>
      </c>
      <c r="F55" s="6">
        <v>26.11</v>
      </c>
      <c r="G55" s="6">
        <f t="shared" si="0"/>
        <v>32.630000000000003</v>
      </c>
      <c r="H55" s="12">
        <f t="shared" si="4"/>
        <v>26104</v>
      </c>
      <c r="I55" s="40"/>
    </row>
    <row r="56" spans="1:10" x14ac:dyDescent="0.2">
      <c r="A56" s="44"/>
      <c r="B56" s="45"/>
      <c r="C56" s="9"/>
      <c r="D56" s="45"/>
      <c r="E56" s="7"/>
      <c r="F56" s="6"/>
      <c r="G56" s="6"/>
      <c r="H56" s="12"/>
      <c r="I56" s="40"/>
    </row>
    <row r="57" spans="1:10" x14ac:dyDescent="0.2">
      <c r="A57" s="88"/>
      <c r="B57" s="89"/>
      <c r="C57" s="89"/>
      <c r="D57" s="89"/>
      <c r="E57" s="89"/>
      <c r="F57" s="8"/>
      <c r="G57" s="8"/>
      <c r="H57" s="11"/>
    </row>
    <row r="58" spans="1:10" ht="15" x14ac:dyDescent="0.2">
      <c r="A58" s="88"/>
      <c r="B58" s="89"/>
      <c r="C58" s="89"/>
      <c r="D58" s="89"/>
      <c r="E58" s="89"/>
      <c r="F58" s="90" t="s">
        <v>11</v>
      </c>
      <c r="G58" s="90"/>
      <c r="H58" s="10">
        <f>'cronograma (2)'!E21</f>
        <v>185012.42</v>
      </c>
    </row>
    <row r="59" spans="1:10" x14ac:dyDescent="0.2">
      <c r="A59" s="88"/>
      <c r="B59" s="89"/>
      <c r="C59" s="89"/>
      <c r="D59" s="89"/>
      <c r="E59" s="89"/>
      <c r="F59" s="8"/>
      <c r="G59" s="8"/>
      <c r="H59" s="11"/>
    </row>
    <row r="60" spans="1:10" ht="15.75" thickBot="1" x14ac:dyDescent="0.3">
      <c r="A60" s="91"/>
      <c r="B60" s="92"/>
      <c r="C60" s="92"/>
      <c r="D60" s="92"/>
      <c r="E60" s="92"/>
      <c r="F60" s="92"/>
      <c r="G60" s="92"/>
      <c r="H60" s="93"/>
    </row>
  </sheetData>
  <mergeCells count="31">
    <mergeCell ref="A1:H4"/>
    <mergeCell ref="B5:C5"/>
    <mergeCell ref="D5:E6"/>
    <mergeCell ref="F5:F6"/>
    <mergeCell ref="G5:G6"/>
    <mergeCell ref="B6:C6"/>
    <mergeCell ref="F23:G23"/>
    <mergeCell ref="B7:C7"/>
    <mergeCell ref="D7:E8"/>
    <mergeCell ref="B8:C8"/>
    <mergeCell ref="A9:H10"/>
    <mergeCell ref="A11:A12"/>
    <mergeCell ref="B11:B12"/>
    <mergeCell ref="C11:C12"/>
    <mergeCell ref="D11:D12"/>
    <mergeCell ref="E11:E12"/>
    <mergeCell ref="F11:F12"/>
    <mergeCell ref="G11:G12"/>
    <mergeCell ref="H11:H12"/>
    <mergeCell ref="A13:H13"/>
    <mergeCell ref="F14:G14"/>
    <mergeCell ref="F19:G19"/>
    <mergeCell ref="A57:E59"/>
    <mergeCell ref="F58:G58"/>
    <mergeCell ref="A60:H60"/>
    <mergeCell ref="F28:G28"/>
    <mergeCell ref="F32:G32"/>
    <mergeCell ref="F37:G37"/>
    <mergeCell ref="F43:G43"/>
    <mergeCell ref="F49:G49"/>
    <mergeCell ref="F54:G54"/>
  </mergeCells>
  <conditionalFormatting sqref="H58">
    <cfRule type="expression" dxfId="5" priority="1">
      <formula>CONCATENATE($C58,$D58,$E58,$F58,$G58,#REF!,#REF!,#REF!)=""</formula>
    </cfRule>
    <cfRule type="expression" dxfId="4" priority="2">
      <formula>CONCATENATE($C58,$D58,$F58,$G58,#REF!,#REF!,#REF!)=""</formula>
    </cfRule>
    <cfRule type="expression" dxfId="3" priority="3">
      <formula>CONCATENATE($D58,$F58,$G58,#REF!,#REF!)=""</formula>
    </cfRule>
  </conditionalFormatting>
  <printOptions horizontalCentered="1" verticalCentered="1"/>
  <pageMargins left="0" right="0" top="0.59055118110236227" bottom="0.39370078740157483" header="0.31496062992125984" footer="0.31496062992125984"/>
  <pageSetup paperSize="9" scale="4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workbookViewId="0">
      <selection activeCell="A2" sqref="A2:K22"/>
    </sheetView>
  </sheetViews>
  <sheetFormatPr defaultRowHeight="15" x14ac:dyDescent="0.25"/>
  <cols>
    <col min="2" max="2" width="23.28515625" bestFit="1" customWidth="1"/>
    <col min="4" max="4" width="46.28515625" customWidth="1"/>
    <col min="5" max="5" width="17.28515625" bestFit="1" customWidth="1"/>
    <col min="6" max="6" width="16" bestFit="1" customWidth="1"/>
    <col min="7" max="7" width="9.42578125" style="1" bestFit="1" customWidth="1"/>
    <col min="8" max="8" width="17.28515625" bestFit="1" customWidth="1"/>
    <col min="9" max="9" width="9.28515625" bestFit="1" customWidth="1"/>
    <col min="10" max="10" width="17.28515625" bestFit="1" customWidth="1"/>
    <col min="11" max="11" width="9.28515625" bestFit="1" customWidth="1"/>
  </cols>
  <sheetData>
    <row r="1" spans="1:11" ht="15.75" thickBot="1" x14ac:dyDescent="0.3"/>
    <row r="2" spans="1:11" ht="15.75" customHeight="1" x14ac:dyDescent="0.25">
      <c r="A2" s="144" t="s">
        <v>92</v>
      </c>
      <c r="B2" s="145"/>
      <c r="C2" s="145"/>
      <c r="D2" s="145"/>
      <c r="E2" s="145"/>
      <c r="F2" s="145"/>
      <c r="G2" s="145"/>
      <c r="H2" s="145"/>
      <c r="I2" s="145"/>
      <c r="J2" s="145"/>
      <c r="K2" s="146"/>
    </row>
    <row r="3" spans="1:11" ht="15" customHeight="1" x14ac:dyDescent="0.25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9"/>
    </row>
    <row r="4" spans="1:11" ht="15" customHeight="1" x14ac:dyDescent="0.25">
      <c r="A4" s="147"/>
      <c r="B4" s="148"/>
      <c r="C4" s="148"/>
      <c r="D4" s="148"/>
      <c r="E4" s="148"/>
      <c r="F4" s="148"/>
      <c r="G4" s="148"/>
      <c r="H4" s="148"/>
      <c r="I4" s="148"/>
      <c r="J4" s="148"/>
      <c r="K4" s="149"/>
    </row>
    <row r="5" spans="1:11" ht="15.75" customHeight="1" thickBot="1" x14ac:dyDescent="0.3">
      <c r="A5" s="150"/>
      <c r="B5" s="151"/>
      <c r="C5" s="151"/>
      <c r="D5" s="151"/>
      <c r="E5" s="151"/>
      <c r="F5" s="151"/>
      <c r="G5" s="151"/>
      <c r="H5" s="151"/>
      <c r="I5" s="151"/>
      <c r="J5" s="151"/>
      <c r="K5" s="152"/>
    </row>
    <row r="6" spans="1:11" ht="24" thickBot="1" x14ac:dyDescent="0.4">
      <c r="A6" s="153" t="s">
        <v>13</v>
      </c>
      <c r="B6" s="154"/>
      <c r="C6" s="154"/>
      <c r="D6" s="154"/>
      <c r="E6" s="154"/>
      <c r="F6" s="154"/>
      <c r="G6" s="154"/>
      <c r="H6" s="154"/>
      <c r="I6" s="154"/>
      <c r="J6" s="154"/>
      <c r="K6" s="155"/>
    </row>
    <row r="7" spans="1:11" ht="15.75" customHeight="1" thickBot="1" x14ac:dyDescent="0.3">
      <c r="A7" s="51" t="str">
        <f>'orçametno 1'!A5</f>
        <v xml:space="preserve">OBRA: </v>
      </c>
      <c r="B7" s="156" t="str">
        <f>'orçametno  (2)'!B5:C5</f>
        <v>Bueiro celular corrego seco</v>
      </c>
      <c r="C7" s="157"/>
      <c r="D7" s="157"/>
      <c r="E7" s="158"/>
      <c r="F7" s="52"/>
      <c r="G7" s="52"/>
      <c r="H7" s="52"/>
      <c r="I7" s="52"/>
      <c r="J7" s="52"/>
      <c r="K7" s="53"/>
    </row>
    <row r="8" spans="1:11" ht="16.5" customHeight="1" thickBot="1" x14ac:dyDescent="0.3">
      <c r="A8" s="54" t="str">
        <f>'orçametno 1'!A6</f>
        <v>LOCAL:</v>
      </c>
      <c r="B8" s="55" t="str">
        <f>'orçametno  (2)'!B6:C6</f>
        <v>S 15° 57' 57'' , W 54° 50' 43''</v>
      </c>
      <c r="C8" s="56"/>
      <c r="D8" s="56"/>
      <c r="E8" s="57"/>
      <c r="F8" s="52"/>
      <c r="G8" s="52"/>
      <c r="H8" s="52"/>
      <c r="I8" s="52"/>
      <c r="J8" s="52"/>
      <c r="K8" s="53"/>
    </row>
    <row r="9" spans="1:11" ht="15.75" thickBot="1" x14ac:dyDescent="0.3">
      <c r="A9" s="159"/>
      <c r="B9" s="160"/>
      <c r="C9" s="160"/>
      <c r="D9" s="160"/>
      <c r="E9" s="161"/>
      <c r="F9" s="162" t="s">
        <v>15</v>
      </c>
      <c r="G9" s="163"/>
      <c r="H9" s="162" t="s">
        <v>17</v>
      </c>
      <c r="I9" s="163"/>
      <c r="J9" s="162" t="s">
        <v>124</v>
      </c>
      <c r="K9" s="163"/>
    </row>
    <row r="10" spans="1:11" ht="32.25" customHeight="1" x14ac:dyDescent="0.25">
      <c r="A10" s="58" t="s">
        <v>122</v>
      </c>
      <c r="B10" s="138" t="s">
        <v>7</v>
      </c>
      <c r="C10" s="138"/>
      <c r="D10" s="138"/>
      <c r="E10" s="59" t="s">
        <v>123</v>
      </c>
      <c r="F10" s="60"/>
      <c r="G10" s="60"/>
      <c r="H10" s="60"/>
      <c r="I10" s="61"/>
      <c r="J10" s="60"/>
      <c r="K10" s="61"/>
    </row>
    <row r="11" spans="1:11" x14ac:dyDescent="0.25">
      <c r="A11" s="62" t="str">
        <f>'orçametno 1'!A14</f>
        <v>1.0</v>
      </c>
      <c r="B11" s="139" t="str">
        <f>'orçametno 1'!C14</f>
        <v>ADM</v>
      </c>
      <c r="C11" s="139"/>
      <c r="D11" s="139"/>
      <c r="E11" s="63">
        <f>'orçametno  (2)'!H14</f>
        <v>20748</v>
      </c>
      <c r="F11" s="64">
        <f>E11/3</f>
        <v>6916</v>
      </c>
      <c r="G11" s="65">
        <f>F11/$E$21</f>
        <v>3.7381274186889718E-2</v>
      </c>
      <c r="H11" s="64">
        <f>F11</f>
        <v>6916</v>
      </c>
      <c r="I11" s="65">
        <f>H11/$E$21</f>
        <v>3.7381274186889718E-2</v>
      </c>
      <c r="J11" s="64">
        <f>H11</f>
        <v>6916</v>
      </c>
      <c r="K11" s="66">
        <f>J11/$E$21</f>
        <v>3.7381274186889718E-2</v>
      </c>
    </row>
    <row r="12" spans="1:11" x14ac:dyDescent="0.25">
      <c r="A12" s="62" t="str">
        <f>'orçametno 1'!A19</f>
        <v>2.0</v>
      </c>
      <c r="B12" s="139" t="str">
        <f>'orçametno 1'!C19</f>
        <v>SERVIÇOS PRELIMINARES</v>
      </c>
      <c r="C12" s="139"/>
      <c r="D12" s="139"/>
      <c r="E12" s="63">
        <f>'orçametno  (2)'!H19</f>
        <v>2221.38</v>
      </c>
      <c r="F12" s="67">
        <f>E12</f>
        <v>2221.38</v>
      </c>
      <c r="G12" s="65">
        <f t="shared" ref="G12:I18" si="0">F12/$E$21</f>
        <v>1.2006653391161522E-2</v>
      </c>
      <c r="H12" s="68"/>
      <c r="I12" s="65">
        <f t="shared" si="0"/>
        <v>0</v>
      </c>
      <c r="J12" s="68"/>
      <c r="K12" s="66">
        <f t="shared" ref="K12:K18" si="1">J12/$E$21</f>
        <v>0</v>
      </c>
    </row>
    <row r="13" spans="1:11" x14ac:dyDescent="0.25">
      <c r="A13" s="62" t="str">
        <f>'orçametno 1'!A23</f>
        <v>3.0</v>
      </c>
      <c r="B13" s="139" t="str">
        <f>'orçametno 1'!C23</f>
        <v>PISO (LAJE)</v>
      </c>
      <c r="C13" s="139"/>
      <c r="D13" s="139"/>
      <c r="E13" s="63">
        <f>'orçametno  (2)'!H23</f>
        <v>35184.1</v>
      </c>
      <c r="F13" s="64">
        <f>E13/2</f>
        <v>17592.05</v>
      </c>
      <c r="G13" s="65">
        <f t="shared" si="0"/>
        <v>9.5085778565568727E-2</v>
      </c>
      <c r="H13" s="64">
        <f>F13</f>
        <v>17592.05</v>
      </c>
      <c r="I13" s="65">
        <f t="shared" si="0"/>
        <v>9.5085778565568727E-2</v>
      </c>
      <c r="J13" s="68"/>
      <c r="K13" s="66">
        <f t="shared" si="1"/>
        <v>0</v>
      </c>
    </row>
    <row r="14" spans="1:11" x14ac:dyDescent="0.25">
      <c r="A14" s="62" t="str">
        <f>'orçametno 1'!A28</f>
        <v>4.0</v>
      </c>
      <c r="B14" s="139" t="str">
        <f>'orçametno 1'!C28</f>
        <v xml:space="preserve">ALVENARIA ESTRUTURAL </v>
      </c>
      <c r="C14" s="139"/>
      <c r="D14" s="139"/>
      <c r="E14" s="63">
        <f>'orçametno  (2)'!H28</f>
        <v>26912.35</v>
      </c>
      <c r="F14" s="64">
        <f>E14/3</f>
        <v>8970.7833333333328</v>
      </c>
      <c r="G14" s="65">
        <f t="shared" si="0"/>
        <v>4.8487465508171464E-2</v>
      </c>
      <c r="H14" s="64">
        <f>F14</f>
        <v>8970.7833333333328</v>
      </c>
      <c r="I14" s="65">
        <f t="shared" si="0"/>
        <v>4.8487465508171464E-2</v>
      </c>
      <c r="J14" s="64">
        <f>H14</f>
        <v>8970.7833333333328</v>
      </c>
      <c r="K14" s="66">
        <f t="shared" si="1"/>
        <v>4.8487465508171464E-2</v>
      </c>
    </row>
    <row r="15" spans="1:11" x14ac:dyDescent="0.25">
      <c r="A15" s="62" t="str">
        <f>'orçametno 1'!A32</f>
        <v>5.0</v>
      </c>
      <c r="B15" s="139" t="str">
        <f>'orçametno 1'!C32</f>
        <v>ESTRUTURAS PILARES</v>
      </c>
      <c r="C15" s="139"/>
      <c r="D15" s="139"/>
      <c r="E15" s="63">
        <f>'orçametno  (2)'!H37</f>
        <v>7560.49</v>
      </c>
      <c r="F15" s="64">
        <f>E15/2</f>
        <v>3780.2449999999999</v>
      </c>
      <c r="G15" s="65">
        <f t="shared" si="0"/>
        <v>2.0432385025826914E-2</v>
      </c>
      <c r="H15" s="64">
        <f>F15</f>
        <v>3780.2449999999999</v>
      </c>
      <c r="I15" s="65">
        <f t="shared" si="0"/>
        <v>2.0432385025826914E-2</v>
      </c>
      <c r="J15" s="68"/>
      <c r="K15" s="66">
        <f t="shared" si="1"/>
        <v>0</v>
      </c>
    </row>
    <row r="16" spans="1:11" x14ac:dyDescent="0.25">
      <c r="A16" s="69" t="str">
        <f>'orçametno 1'!A37</f>
        <v>6.0</v>
      </c>
      <c r="B16" s="140" t="str">
        <f>'orçametno 1'!C37</f>
        <v>ESTRUTURAS VIGAS</v>
      </c>
      <c r="C16" s="140"/>
      <c r="D16" s="140"/>
      <c r="E16" s="70">
        <f>'orçametno  (2)'!H37</f>
        <v>7560.49</v>
      </c>
      <c r="F16" s="71">
        <f>E16</f>
        <v>7560.49</v>
      </c>
      <c r="G16" s="65">
        <f t="shared" si="0"/>
        <v>4.0864770051653829E-2</v>
      </c>
      <c r="H16" s="71"/>
      <c r="I16" s="65">
        <f t="shared" si="0"/>
        <v>0</v>
      </c>
      <c r="J16" s="71"/>
      <c r="K16" s="66">
        <f t="shared" si="1"/>
        <v>0</v>
      </c>
    </row>
    <row r="17" spans="1:11" x14ac:dyDescent="0.25">
      <c r="A17" s="69" t="str">
        <f>'orçametno 1'!A43</f>
        <v>7.0</v>
      </c>
      <c r="B17" s="140" t="str">
        <f>'orçametno 1'!C43</f>
        <v>LAJE</v>
      </c>
      <c r="C17" s="140"/>
      <c r="D17" s="140"/>
      <c r="E17" s="70">
        <f>'orçametno  (2)'!H43</f>
        <v>44108.01</v>
      </c>
      <c r="F17" s="71"/>
      <c r="G17" s="65">
        <f t="shared" si="0"/>
        <v>0</v>
      </c>
      <c r="H17" s="71">
        <f>E17/2</f>
        <v>22054.005000000001</v>
      </c>
      <c r="I17" s="65">
        <f t="shared" si="0"/>
        <v>0.11920283513939225</v>
      </c>
      <c r="J17" s="71">
        <f>H17</f>
        <v>22054.005000000001</v>
      </c>
      <c r="K17" s="66">
        <f t="shared" si="1"/>
        <v>0.11920283513939225</v>
      </c>
    </row>
    <row r="18" spans="1:11" x14ac:dyDescent="0.25">
      <c r="A18" s="69" t="str">
        <f>'orçametno 1'!A49</f>
        <v>8.0</v>
      </c>
      <c r="B18" s="140" t="str">
        <f>'orçametno 1'!C49</f>
        <v>ALAS DO BUEIRO</v>
      </c>
      <c r="C18" s="140"/>
      <c r="D18" s="140"/>
      <c r="E18" s="70">
        <f>'orçametno  (2)'!H49</f>
        <v>14613.6</v>
      </c>
      <c r="F18" s="71"/>
      <c r="G18" s="65">
        <f t="shared" si="0"/>
        <v>0</v>
      </c>
      <c r="H18" s="71">
        <f>E18/2</f>
        <v>7306.8</v>
      </c>
      <c r="I18" s="65">
        <f t="shared" si="0"/>
        <v>3.9493564810405703E-2</v>
      </c>
      <c r="J18" s="71">
        <f>H18</f>
        <v>7306.8</v>
      </c>
      <c r="K18" s="66">
        <f t="shared" si="1"/>
        <v>3.9493564810405703E-2</v>
      </c>
    </row>
    <row r="19" spans="1:11" ht="15.75" thickBot="1" x14ac:dyDescent="0.3">
      <c r="A19" s="72" t="str">
        <f>'orçametno 1'!A54</f>
        <v>9.0</v>
      </c>
      <c r="B19" s="141" t="str">
        <f>'orçametno 1'!C54</f>
        <v>ESCAVAÇÃO (CARGA E DESCARGA)</v>
      </c>
      <c r="C19" s="141"/>
      <c r="D19" s="141"/>
      <c r="E19" s="73">
        <f>'orçametno  (2)'!H54</f>
        <v>26104</v>
      </c>
      <c r="F19" s="74">
        <f>E19/3</f>
        <v>8701.3333333333339</v>
      </c>
      <c r="G19" s="65">
        <f>F19/$E$21</f>
        <v>4.7031076796537945E-2</v>
      </c>
      <c r="H19" s="74">
        <f>F19</f>
        <v>8701.3333333333339</v>
      </c>
      <c r="I19" s="65">
        <f>H19/$E$21</f>
        <v>4.7031076796537945E-2</v>
      </c>
      <c r="J19" s="74">
        <f>H19</f>
        <v>8701.3333333333339</v>
      </c>
      <c r="K19" s="66">
        <f>J19/$E$21</f>
        <v>4.7031076796537945E-2</v>
      </c>
    </row>
    <row r="20" spans="1:11" ht="15.75" thickBot="1" x14ac:dyDescent="0.3">
      <c r="A20" s="75"/>
      <c r="B20" s="142"/>
      <c r="C20" s="143"/>
      <c r="D20" s="143"/>
      <c r="E20" s="76"/>
      <c r="F20" s="77"/>
      <c r="G20" s="78"/>
      <c r="H20" s="77"/>
      <c r="I20" s="78"/>
      <c r="J20" s="77"/>
      <c r="K20" s="78"/>
    </row>
    <row r="21" spans="1:11" ht="16.5" thickBot="1" x14ac:dyDescent="0.3">
      <c r="A21" s="136" t="s">
        <v>125</v>
      </c>
      <c r="B21" s="137"/>
      <c r="C21" s="137"/>
      <c r="D21" s="137"/>
      <c r="E21" s="79">
        <f t="shared" ref="E21:K21" si="2">SUM(E11:E19)</f>
        <v>185012.42</v>
      </c>
      <c r="F21" s="80">
        <f t="shared" si="2"/>
        <v>55742.281666666669</v>
      </c>
      <c r="G21" s="81">
        <f t="shared" si="2"/>
        <v>0.30128940352581013</v>
      </c>
      <c r="H21" s="80">
        <f t="shared" si="2"/>
        <v>75321.21666666666</v>
      </c>
      <c r="I21" s="81">
        <f t="shared" si="2"/>
        <v>0.40711438003279277</v>
      </c>
      <c r="J21" s="80">
        <f t="shared" si="2"/>
        <v>53948.921666666669</v>
      </c>
      <c r="K21" s="81">
        <f t="shared" si="2"/>
        <v>0.29159621644139705</v>
      </c>
    </row>
    <row r="22" spans="1:11" ht="16.5" thickBot="1" x14ac:dyDescent="0.3">
      <c r="A22" s="82"/>
      <c r="B22" s="83"/>
      <c r="C22" s="83"/>
      <c r="D22" s="83"/>
      <c r="E22" s="83"/>
      <c r="F22" s="84">
        <f>F21</f>
        <v>55742.281666666669</v>
      </c>
      <c r="G22" s="85">
        <f>G21</f>
        <v>0.30128940352581013</v>
      </c>
      <c r="H22" s="84">
        <f>H21+F22</f>
        <v>131063.49833333332</v>
      </c>
      <c r="I22" s="86">
        <f>I21+G22</f>
        <v>0.7084037835586029</v>
      </c>
      <c r="J22" s="84">
        <f>J21+H22</f>
        <v>185012.41999999998</v>
      </c>
      <c r="K22" s="86">
        <f>K21+I22</f>
        <v>1</v>
      </c>
    </row>
  </sheetData>
  <mergeCells count="19">
    <mergeCell ref="A2:K5"/>
    <mergeCell ref="A6:K6"/>
    <mergeCell ref="B7:E7"/>
    <mergeCell ref="A9:E9"/>
    <mergeCell ref="F9:G9"/>
    <mergeCell ref="H9:I9"/>
    <mergeCell ref="J9:K9"/>
    <mergeCell ref="A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</mergeCells>
  <printOptions horizontalCentered="1" verticalCentered="1"/>
  <pageMargins left="0.51181102362204722" right="0.51181102362204722" top="1.5748031496062993" bottom="0.78740157480314965" header="0.31496062992125984" footer="0.31496062992125984"/>
  <pageSetup paperSize="9" scale="74" fitToHeight="0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4" workbookViewId="0">
      <selection activeCell="B35" sqref="B35"/>
    </sheetView>
  </sheetViews>
  <sheetFormatPr defaultRowHeight="15" x14ac:dyDescent="0.25"/>
  <cols>
    <col min="1" max="1" width="22.42578125" bestFit="1" customWidth="1"/>
    <col min="6" max="6" width="21" bestFit="1" customWidth="1"/>
    <col min="7" max="7" width="9.85546875" bestFit="1" customWidth="1"/>
  </cols>
  <sheetData>
    <row r="1" spans="1:9" ht="21.75" thickBot="1" x14ac:dyDescent="0.4">
      <c r="A1" s="164" t="s">
        <v>50</v>
      </c>
      <c r="B1" s="165"/>
      <c r="C1" s="165"/>
      <c r="D1" s="165"/>
      <c r="E1" s="165"/>
      <c r="F1" s="165"/>
      <c r="G1" s="165"/>
      <c r="H1" s="165"/>
      <c r="I1" s="166"/>
    </row>
    <row r="2" spans="1:9" x14ac:dyDescent="0.25">
      <c r="A2" s="31" t="s">
        <v>54</v>
      </c>
      <c r="B2" s="2"/>
      <c r="C2" s="2"/>
      <c r="D2" s="3"/>
      <c r="F2" s="31" t="s">
        <v>56</v>
      </c>
      <c r="G2" s="2"/>
      <c r="H2" s="2"/>
      <c r="I2" s="3"/>
    </row>
    <row r="3" spans="1:9" x14ac:dyDescent="0.25">
      <c r="A3" s="31" t="s">
        <v>130</v>
      </c>
      <c r="B3" s="2" t="s">
        <v>52</v>
      </c>
      <c r="C3" s="2">
        <v>0.4</v>
      </c>
      <c r="D3" s="3">
        <f>3.1415*(0.2*0.2)</f>
        <v>0.12566000000000002</v>
      </c>
      <c r="F3" s="31" t="s">
        <v>57</v>
      </c>
      <c r="G3" s="2">
        <f>14*5</f>
        <v>70</v>
      </c>
      <c r="H3" s="2"/>
      <c r="I3" s="3"/>
    </row>
    <row r="4" spans="1:9" ht="15.75" thickBot="1" x14ac:dyDescent="0.3">
      <c r="A4" s="31"/>
      <c r="B4" s="2" t="s">
        <v>53</v>
      </c>
      <c r="C4" s="2">
        <v>1.5</v>
      </c>
      <c r="D4" s="3"/>
      <c r="F4" s="31" t="s">
        <v>52</v>
      </c>
      <c r="G4" s="2">
        <v>0.4</v>
      </c>
      <c r="H4" s="2"/>
      <c r="I4" s="3"/>
    </row>
    <row r="5" spans="1:9" ht="15.75" thickBot="1" x14ac:dyDescent="0.3">
      <c r="A5" s="32"/>
      <c r="B5" s="33"/>
      <c r="C5" s="29">
        <f>C4*D3*18</f>
        <v>3.3928200000000008</v>
      </c>
      <c r="D5" s="34"/>
      <c r="F5" s="32"/>
      <c r="G5" s="33"/>
      <c r="H5" s="29">
        <f>G3*G4</f>
        <v>28</v>
      </c>
      <c r="I5" s="34"/>
    </row>
    <row r="6" spans="1:9" ht="15.75" thickBot="1" x14ac:dyDescent="0.3"/>
    <row r="7" spans="1:9" ht="15.75" thickBot="1" x14ac:dyDescent="0.3">
      <c r="A7" s="30" t="s">
        <v>55</v>
      </c>
      <c r="B7" s="4"/>
      <c r="C7" s="4"/>
      <c r="D7" s="5"/>
      <c r="F7" s="30" t="s">
        <v>60</v>
      </c>
      <c r="G7" s="4"/>
      <c r="H7" s="4"/>
      <c r="I7" s="5"/>
    </row>
    <row r="8" spans="1:9" ht="15.75" thickBot="1" x14ac:dyDescent="0.3">
      <c r="A8" s="32" t="s">
        <v>130</v>
      </c>
      <c r="B8" s="35">
        <f>C5</f>
        <v>3.3928200000000008</v>
      </c>
      <c r="C8" s="33"/>
      <c r="D8" s="34"/>
      <c r="F8" s="32" t="str">
        <f>F3</f>
        <v>metragem quadrada</v>
      </c>
      <c r="G8" s="29">
        <v>42</v>
      </c>
      <c r="H8" s="33"/>
      <c r="I8" s="34"/>
    </row>
    <row r="9" spans="1:9" ht="15.75" thickBot="1" x14ac:dyDescent="0.3"/>
    <row r="10" spans="1:9" x14ac:dyDescent="0.25">
      <c r="A10" s="30" t="s">
        <v>61</v>
      </c>
      <c r="B10" s="4"/>
      <c r="C10" s="4"/>
      <c r="D10" s="5"/>
      <c r="F10" s="30" t="s">
        <v>66</v>
      </c>
      <c r="G10" s="4"/>
      <c r="H10" s="4"/>
      <c r="I10" s="5"/>
    </row>
    <row r="11" spans="1:9" x14ac:dyDescent="0.25">
      <c r="A11" s="31" t="s">
        <v>62</v>
      </c>
      <c r="B11" s="2" t="s">
        <v>63</v>
      </c>
      <c r="C11" s="2" t="s">
        <v>64</v>
      </c>
      <c r="D11" s="3" t="s">
        <v>65</v>
      </c>
      <c r="F11" s="42" t="s">
        <v>77</v>
      </c>
      <c r="G11" s="2"/>
      <c r="H11" s="2"/>
      <c r="I11" s="3"/>
    </row>
    <row r="12" spans="1:9" x14ac:dyDescent="0.25">
      <c r="A12" s="31"/>
      <c r="B12" s="2">
        <v>14</v>
      </c>
      <c r="C12" s="2">
        <v>14</v>
      </c>
      <c r="D12" s="3">
        <v>3</v>
      </c>
      <c r="F12" s="31" t="s">
        <v>63</v>
      </c>
      <c r="G12" s="2">
        <v>14</v>
      </c>
      <c r="H12" s="2">
        <f>G12/0.1</f>
        <v>140</v>
      </c>
      <c r="I12" s="3">
        <f>H12*G12</f>
        <v>1960</v>
      </c>
    </row>
    <row r="13" spans="1:9" ht="15.75" thickBot="1" x14ac:dyDescent="0.3">
      <c r="A13" s="31"/>
      <c r="B13" s="2">
        <f>B12</f>
        <v>14</v>
      </c>
      <c r="C13" s="2">
        <f>C12</f>
        <v>14</v>
      </c>
      <c r="D13" s="3">
        <f>D12</f>
        <v>3</v>
      </c>
      <c r="F13" s="31" t="s">
        <v>64</v>
      </c>
      <c r="G13" s="2">
        <v>3</v>
      </c>
      <c r="H13" s="2">
        <f>G13/0.1</f>
        <v>30</v>
      </c>
      <c r="I13" s="3">
        <f>H13*G13</f>
        <v>90</v>
      </c>
    </row>
    <row r="14" spans="1:9" ht="15.75" thickBot="1" x14ac:dyDescent="0.3">
      <c r="A14" s="32"/>
      <c r="B14" s="29">
        <f>(B12+C12+D12)*2*0.35</f>
        <v>21.7</v>
      </c>
      <c r="C14" s="33"/>
      <c r="D14" s="34"/>
      <c r="F14" s="167" t="s">
        <v>67</v>
      </c>
      <c r="G14" s="168"/>
      <c r="H14" s="168"/>
      <c r="I14" s="3">
        <f>I12+I13</f>
        <v>2050</v>
      </c>
    </row>
    <row r="15" spans="1:9" ht="15.75" thickBot="1" x14ac:dyDescent="0.3">
      <c r="F15" s="32"/>
      <c r="G15" s="33"/>
      <c r="H15" s="38" t="s">
        <v>59</v>
      </c>
      <c r="I15" s="39">
        <f>I14*0.395</f>
        <v>809.75</v>
      </c>
    </row>
    <row r="16" spans="1:9" ht="15.75" thickBot="1" x14ac:dyDescent="0.3">
      <c r="A16" s="30" t="s">
        <v>68</v>
      </c>
      <c r="B16" s="4">
        <f>14*3</f>
        <v>42</v>
      </c>
      <c r="C16" s="4"/>
      <c r="D16" s="5"/>
    </row>
    <row r="17" spans="1:9" ht="15.75" thickBot="1" x14ac:dyDescent="0.3">
      <c r="A17" s="31" t="s">
        <v>52</v>
      </c>
      <c r="B17" s="2">
        <v>0.4</v>
      </c>
      <c r="C17" s="2"/>
      <c r="D17" s="3"/>
      <c r="F17" s="30" t="s">
        <v>69</v>
      </c>
      <c r="G17" s="4" t="s">
        <v>63</v>
      </c>
      <c r="H17" s="4" t="s">
        <v>64</v>
      </c>
      <c r="I17" s="5" t="s">
        <v>23</v>
      </c>
    </row>
    <row r="18" spans="1:9" ht="15.75" thickBot="1" x14ac:dyDescent="0.3">
      <c r="A18" s="32"/>
      <c r="B18" s="29">
        <f>B17*B16</f>
        <v>16.8</v>
      </c>
      <c r="C18" s="33"/>
      <c r="D18" s="34"/>
      <c r="F18" s="31"/>
      <c r="G18" s="2">
        <v>14</v>
      </c>
      <c r="H18" s="2">
        <v>14</v>
      </c>
      <c r="I18" s="3">
        <v>3</v>
      </c>
    </row>
    <row r="19" spans="1:9" x14ac:dyDescent="0.25">
      <c r="F19" s="31"/>
      <c r="G19" s="2"/>
      <c r="H19" s="2"/>
      <c r="I19" s="3"/>
    </row>
    <row r="20" spans="1:9" x14ac:dyDescent="0.25">
      <c r="F20" s="31"/>
      <c r="G20" s="2">
        <f>(G18+H18)*I18</f>
        <v>84</v>
      </c>
      <c r="H20" s="2"/>
      <c r="I20" s="3"/>
    </row>
    <row r="21" spans="1:9" ht="15.75" thickBot="1" x14ac:dyDescent="0.3">
      <c r="F21" s="32"/>
      <c r="G21" s="33"/>
      <c r="H21" s="33"/>
      <c r="I21" s="34"/>
    </row>
    <row r="23" spans="1:9" ht="15.75" thickBot="1" x14ac:dyDescent="0.3"/>
    <row r="24" spans="1:9" ht="15.75" thickBot="1" x14ac:dyDescent="0.3">
      <c r="A24" s="30" t="s">
        <v>71</v>
      </c>
      <c r="B24" s="4"/>
      <c r="C24" s="4"/>
      <c r="D24" s="5"/>
      <c r="F24" s="30" t="s">
        <v>74</v>
      </c>
      <c r="G24" s="4"/>
      <c r="H24" s="4"/>
      <c r="I24" s="5"/>
    </row>
    <row r="25" spans="1:9" ht="15.75" thickBot="1" x14ac:dyDescent="0.3">
      <c r="A25" s="31" t="s">
        <v>127</v>
      </c>
      <c r="B25" s="2">
        <f>(0.15*0.3*3)*18</f>
        <v>2.4300000000000002</v>
      </c>
      <c r="C25" s="29">
        <f>B25</f>
        <v>2.4300000000000002</v>
      </c>
      <c r="D25" s="3"/>
      <c r="F25" s="31">
        <f>18*4</f>
        <v>72</v>
      </c>
      <c r="G25" s="2">
        <f>F25*4</f>
        <v>288</v>
      </c>
      <c r="H25" s="2">
        <f>G25*0.617</f>
        <v>177.696</v>
      </c>
      <c r="I25" s="35">
        <f>H25</f>
        <v>177.696</v>
      </c>
    </row>
    <row r="26" spans="1:9" ht="15.75" thickBot="1" x14ac:dyDescent="0.3">
      <c r="A26" s="32" t="s">
        <v>128</v>
      </c>
      <c r="B26" s="33">
        <f>6*0.15*0.35*10</f>
        <v>3.1499999999999995</v>
      </c>
      <c r="C26" s="87">
        <f>B26</f>
        <v>3.1499999999999995</v>
      </c>
      <c r="D26" s="34"/>
      <c r="F26" s="32">
        <f>26*8</f>
        <v>208</v>
      </c>
      <c r="G26" s="33"/>
      <c r="H26" s="33">
        <f>F26*0.617</f>
        <v>128.33600000000001</v>
      </c>
      <c r="I26" s="35">
        <f>H26</f>
        <v>128.33600000000001</v>
      </c>
    </row>
    <row r="28" spans="1:9" ht="15.75" thickBot="1" x14ac:dyDescent="0.3"/>
    <row r="29" spans="1:9" ht="15.75" thickBot="1" x14ac:dyDescent="0.3">
      <c r="A29" s="30" t="s">
        <v>75</v>
      </c>
      <c r="B29" s="4"/>
      <c r="C29" s="4"/>
      <c r="D29" s="5"/>
      <c r="F29" s="30" t="s">
        <v>79</v>
      </c>
      <c r="G29" s="4">
        <f>3*4</f>
        <v>12</v>
      </c>
      <c r="H29" s="4"/>
      <c r="I29" s="5"/>
    </row>
    <row r="30" spans="1:9" ht="15.75" thickBot="1" x14ac:dyDescent="0.3">
      <c r="A30" s="31" t="s">
        <v>127</v>
      </c>
      <c r="B30" s="2">
        <f>(0.15+0.3)*18</f>
        <v>8.1</v>
      </c>
      <c r="C30" s="29">
        <f>B30</f>
        <v>8.1</v>
      </c>
      <c r="D30" s="3"/>
      <c r="F30" s="31" t="s">
        <v>81</v>
      </c>
      <c r="G30" s="2">
        <f>(8.35*0.45*0.5)*2</f>
        <v>3.7574999999999998</v>
      </c>
      <c r="H30" s="2">
        <f>G30</f>
        <v>3.7574999999999998</v>
      </c>
      <c r="I30" s="3"/>
    </row>
    <row r="31" spans="1:9" ht="15.75" thickBot="1" x14ac:dyDescent="0.3">
      <c r="A31" s="32" t="s">
        <v>129</v>
      </c>
      <c r="B31" s="33">
        <f>(0.15+0.35)*10*2.5</f>
        <v>12.5</v>
      </c>
      <c r="C31" s="35">
        <f>B31</f>
        <v>12.5</v>
      </c>
      <c r="D31" s="34"/>
      <c r="F31" s="32" t="s">
        <v>82</v>
      </c>
      <c r="G31" s="33">
        <f>8.74*2</f>
        <v>17.48</v>
      </c>
      <c r="H31" s="33">
        <f>G31*0.25</f>
        <v>4.37</v>
      </c>
      <c r="I31" s="34"/>
    </row>
    <row r="33" spans="1:2" x14ac:dyDescent="0.25">
      <c r="A33" t="s">
        <v>89</v>
      </c>
      <c r="B33">
        <v>20</v>
      </c>
    </row>
    <row r="34" spans="1:2" x14ac:dyDescent="0.25">
      <c r="A34" t="s">
        <v>90</v>
      </c>
      <c r="B34">
        <v>8</v>
      </c>
    </row>
    <row r="35" spans="1:2" x14ac:dyDescent="0.25">
      <c r="A35" t="s">
        <v>91</v>
      </c>
      <c r="B35">
        <v>5</v>
      </c>
    </row>
    <row r="36" spans="1:2" x14ac:dyDescent="0.25">
      <c r="B36">
        <f>B35*B34*B33</f>
        <v>800</v>
      </c>
    </row>
  </sheetData>
  <mergeCells count="2">
    <mergeCell ref="A1:I1"/>
    <mergeCell ref="F14:H14"/>
  </mergeCells>
  <pageMargins left="0.511811024" right="0.511811024" top="0.78740157499999996" bottom="0.78740157499999996" header="0.31496062000000002" footer="0.31496062000000002"/>
  <pageSetup paperSize="9" scale="8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zoomScale="85" zoomScaleNormal="85" workbookViewId="0">
      <selection activeCell="F21" sqref="F21"/>
    </sheetView>
  </sheetViews>
  <sheetFormatPr defaultRowHeight="14.25" x14ac:dyDescent="0.2"/>
  <cols>
    <col min="1" max="1" width="9.140625" style="13"/>
    <col min="2" max="2" width="10" style="13" customWidth="1"/>
    <col min="3" max="3" width="125.28515625" style="14" bestFit="1" customWidth="1"/>
    <col min="4" max="4" width="6.85546875" style="13" bestFit="1" customWidth="1"/>
    <col min="5" max="5" width="12" style="15" customWidth="1"/>
    <col min="6" max="6" width="12.5703125" style="16" bestFit="1" customWidth="1"/>
    <col min="7" max="7" width="18.28515625" style="16" bestFit="1" customWidth="1"/>
    <col min="8" max="8" width="15.5703125" style="16" bestFit="1" customWidth="1"/>
    <col min="9" max="9" width="13.85546875" style="17" bestFit="1" customWidth="1"/>
    <col min="10" max="10" width="16.28515625" style="17" bestFit="1" customWidth="1"/>
    <col min="11" max="11" width="14.5703125" style="17" bestFit="1" customWidth="1"/>
    <col min="12" max="16384" width="9.140625" style="17"/>
  </cols>
  <sheetData>
    <row r="1" spans="1:11" ht="14.25" customHeight="1" x14ac:dyDescent="0.2">
      <c r="A1" s="119" t="s">
        <v>92</v>
      </c>
      <c r="B1" s="120"/>
      <c r="C1" s="120"/>
      <c r="D1" s="120"/>
      <c r="E1" s="120"/>
      <c r="F1" s="120"/>
      <c r="G1" s="120"/>
      <c r="H1" s="121"/>
    </row>
    <row r="2" spans="1:11" ht="32.25" customHeight="1" x14ac:dyDescent="0.2">
      <c r="A2" s="122"/>
      <c r="B2" s="123"/>
      <c r="C2" s="123"/>
      <c r="D2" s="123"/>
      <c r="E2" s="123"/>
      <c r="F2" s="123"/>
      <c r="G2" s="123"/>
      <c r="H2" s="124"/>
    </row>
    <row r="3" spans="1:11" ht="32.25" customHeight="1" x14ac:dyDescent="0.2">
      <c r="A3" s="122"/>
      <c r="B3" s="123"/>
      <c r="C3" s="123"/>
      <c r="D3" s="123"/>
      <c r="E3" s="123"/>
      <c r="F3" s="123"/>
      <c r="G3" s="123"/>
      <c r="H3" s="124"/>
    </row>
    <row r="4" spans="1:11" ht="30.75" customHeight="1" thickBot="1" x14ac:dyDescent="0.25">
      <c r="A4" s="125"/>
      <c r="B4" s="126"/>
      <c r="C4" s="126"/>
      <c r="D4" s="126"/>
      <c r="E4" s="126"/>
      <c r="F4" s="126"/>
      <c r="G4" s="126"/>
      <c r="H4" s="127"/>
    </row>
    <row r="5" spans="1:11" ht="15" customHeight="1" x14ac:dyDescent="0.25">
      <c r="A5" s="18" t="s">
        <v>0</v>
      </c>
      <c r="B5" s="128" t="s">
        <v>133</v>
      </c>
      <c r="C5" s="129"/>
      <c r="D5" s="130" t="s">
        <v>1</v>
      </c>
      <c r="E5" s="131"/>
      <c r="F5" s="134"/>
      <c r="G5" s="134" t="s">
        <v>39</v>
      </c>
      <c r="H5" s="46"/>
    </row>
    <row r="6" spans="1:11" ht="14.25" customHeight="1" x14ac:dyDescent="0.25">
      <c r="A6" s="18" t="s">
        <v>20</v>
      </c>
      <c r="B6" s="96" t="s">
        <v>93</v>
      </c>
      <c r="C6" s="97"/>
      <c r="D6" s="132"/>
      <c r="E6" s="133"/>
      <c r="F6" s="135"/>
      <c r="G6" s="135"/>
      <c r="H6" s="46"/>
    </row>
    <row r="7" spans="1:11" ht="15" customHeight="1" x14ac:dyDescent="0.25">
      <c r="A7" s="18" t="s">
        <v>2</v>
      </c>
      <c r="B7" s="96"/>
      <c r="C7" s="97"/>
      <c r="D7" s="98" t="s">
        <v>3</v>
      </c>
      <c r="E7" s="99"/>
      <c r="F7" s="43" t="s">
        <v>18</v>
      </c>
      <c r="G7" s="19">
        <v>0.25</v>
      </c>
      <c r="H7" s="46"/>
    </row>
    <row r="8" spans="1:11" ht="15" x14ac:dyDescent="0.25">
      <c r="A8" s="18" t="s">
        <v>21</v>
      </c>
      <c r="B8" s="102"/>
      <c r="C8" s="103"/>
      <c r="D8" s="100"/>
      <c r="E8" s="101"/>
      <c r="F8" s="20"/>
      <c r="G8" s="20"/>
      <c r="H8" s="21"/>
    </row>
    <row r="9" spans="1:11" ht="14.25" customHeight="1" x14ac:dyDescent="0.2">
      <c r="A9" s="104" t="s">
        <v>4</v>
      </c>
      <c r="B9" s="105"/>
      <c r="C9" s="105"/>
      <c r="D9" s="105"/>
      <c r="E9" s="105"/>
      <c r="F9" s="105"/>
      <c r="G9" s="105"/>
      <c r="H9" s="106"/>
      <c r="I9" s="47"/>
    </row>
    <row r="10" spans="1:11" ht="12" customHeight="1" x14ac:dyDescent="0.2">
      <c r="A10" s="107"/>
      <c r="B10" s="108"/>
      <c r="C10" s="108"/>
      <c r="D10" s="108"/>
      <c r="E10" s="108"/>
      <c r="F10" s="108"/>
      <c r="G10" s="108"/>
      <c r="H10" s="109"/>
    </row>
    <row r="11" spans="1:11" x14ac:dyDescent="0.2">
      <c r="A11" s="110" t="s">
        <v>5</v>
      </c>
      <c r="B11" s="111" t="s">
        <v>6</v>
      </c>
      <c r="C11" s="112" t="s">
        <v>7</v>
      </c>
      <c r="D11" s="112" t="s">
        <v>8</v>
      </c>
      <c r="E11" s="113" t="s">
        <v>9</v>
      </c>
      <c r="F11" s="114" t="s">
        <v>16</v>
      </c>
      <c r="G11" s="114" t="s">
        <v>19</v>
      </c>
      <c r="H11" s="115" t="s">
        <v>10</v>
      </c>
    </row>
    <row r="12" spans="1:11" x14ac:dyDescent="0.2">
      <c r="A12" s="110"/>
      <c r="B12" s="111"/>
      <c r="C12" s="112"/>
      <c r="D12" s="112"/>
      <c r="E12" s="113"/>
      <c r="F12" s="114"/>
      <c r="G12" s="114"/>
      <c r="H12" s="115"/>
    </row>
    <row r="13" spans="1:11" ht="15" x14ac:dyDescent="0.25">
      <c r="A13" s="116"/>
      <c r="B13" s="117"/>
      <c r="C13" s="117"/>
      <c r="D13" s="117"/>
      <c r="E13" s="117"/>
      <c r="F13" s="117"/>
      <c r="G13" s="117"/>
      <c r="H13" s="118"/>
    </row>
    <row r="14" spans="1:11" ht="15" x14ac:dyDescent="0.25">
      <c r="A14" s="27" t="s">
        <v>14</v>
      </c>
      <c r="B14" s="28"/>
      <c r="C14" s="28" t="s">
        <v>25</v>
      </c>
      <c r="D14" s="28"/>
      <c r="E14" s="28"/>
      <c r="F14" s="94" t="s">
        <v>58</v>
      </c>
      <c r="G14" s="95"/>
      <c r="H14" s="37">
        <f>H15+H16+H17</f>
        <v>16071.32</v>
      </c>
      <c r="K14" s="41"/>
    </row>
    <row r="15" spans="1:11" x14ac:dyDescent="0.2">
      <c r="A15" s="44" t="s">
        <v>98</v>
      </c>
      <c r="B15" s="44">
        <v>90778</v>
      </c>
      <c r="C15" s="9" t="s">
        <v>22</v>
      </c>
      <c r="D15" s="45" t="s">
        <v>23</v>
      </c>
      <c r="E15" s="7">
        <v>18</v>
      </c>
      <c r="F15" s="6">
        <v>122.63</v>
      </c>
      <c r="G15" s="6">
        <f>TRUNC(F15*$G$7+F15,2)</f>
        <v>153.28</v>
      </c>
      <c r="H15" s="12">
        <f>TRUNC(G15*E15,2)</f>
        <v>2759.04</v>
      </c>
    </row>
    <row r="16" spans="1:11" x14ac:dyDescent="0.2">
      <c r="A16" s="44" t="s">
        <v>99</v>
      </c>
      <c r="B16" s="45">
        <v>90780</v>
      </c>
      <c r="C16" s="9" t="s">
        <v>24</v>
      </c>
      <c r="D16" s="45" t="s">
        <v>23</v>
      </c>
      <c r="E16" s="7">
        <v>92</v>
      </c>
      <c r="F16" s="6">
        <v>57.8</v>
      </c>
      <c r="G16" s="6">
        <f t="shared" ref="G16:G55" si="0">TRUNC(F16*$G$7+F16,2)</f>
        <v>72.25</v>
      </c>
      <c r="H16" s="12">
        <f t="shared" ref="H16:H29" si="1">TRUNC(G16*E16,2)</f>
        <v>6647</v>
      </c>
    </row>
    <row r="17" spans="1:11" ht="28.5" x14ac:dyDescent="0.2">
      <c r="A17" s="44" t="s">
        <v>100</v>
      </c>
      <c r="B17" s="45">
        <v>93584</v>
      </c>
      <c r="C17" s="9" t="s">
        <v>97</v>
      </c>
      <c r="D17" s="45" t="s">
        <v>12</v>
      </c>
      <c r="E17" s="7">
        <v>6</v>
      </c>
      <c r="F17" s="6">
        <v>888.71</v>
      </c>
      <c r="G17" s="6">
        <f t="shared" ref="G17" si="2">TRUNC(F17*$G$7+F17,2)</f>
        <v>1110.8800000000001</v>
      </c>
      <c r="H17" s="12">
        <f t="shared" ref="H17" si="3">TRUNC(G17*E17,2)</f>
        <v>6665.28</v>
      </c>
    </row>
    <row r="18" spans="1:11" x14ac:dyDescent="0.2">
      <c r="A18" s="44"/>
      <c r="B18" s="45"/>
      <c r="C18" s="9"/>
      <c r="D18" s="45"/>
      <c r="E18" s="7"/>
      <c r="F18" s="49"/>
      <c r="G18" s="50"/>
      <c r="H18" s="12"/>
    </row>
    <row r="19" spans="1:11" ht="15" x14ac:dyDescent="0.2">
      <c r="A19" s="22" t="s">
        <v>26</v>
      </c>
      <c r="B19" s="23"/>
      <c r="C19" s="24" t="s">
        <v>27</v>
      </c>
      <c r="D19" s="23"/>
      <c r="E19" s="36"/>
      <c r="F19" s="94" t="s">
        <v>58</v>
      </c>
      <c r="G19" s="95"/>
      <c r="H19" s="37">
        <f>H20+H21</f>
        <v>1223.92</v>
      </c>
      <c r="K19" s="41"/>
    </row>
    <row r="20" spans="1:11" x14ac:dyDescent="0.2">
      <c r="A20" s="44" t="s">
        <v>101</v>
      </c>
      <c r="B20" s="45">
        <v>97082</v>
      </c>
      <c r="C20" s="9" t="s">
        <v>28</v>
      </c>
      <c r="D20" s="45" t="s">
        <v>30</v>
      </c>
      <c r="E20" s="7">
        <f>'memorial corrego cainana'!C5+'memorial corrego cainana'!H5</f>
        <v>14.072307500000001</v>
      </c>
      <c r="F20" s="6">
        <v>56.01</v>
      </c>
      <c r="G20" s="6">
        <f t="shared" si="0"/>
        <v>70.010000000000005</v>
      </c>
      <c r="H20" s="12">
        <f t="shared" si="1"/>
        <v>985.2</v>
      </c>
    </row>
    <row r="21" spans="1:11" ht="28.5" x14ac:dyDescent="0.2">
      <c r="A21" s="44" t="s">
        <v>102</v>
      </c>
      <c r="B21" s="45">
        <v>97083</v>
      </c>
      <c r="C21" s="9" t="s">
        <v>29</v>
      </c>
      <c r="D21" s="45" t="s">
        <v>12</v>
      </c>
      <c r="E21" s="7">
        <f>'memorial corrego cainana'!G3*2</f>
        <v>64</v>
      </c>
      <c r="F21" s="6">
        <v>2.99</v>
      </c>
      <c r="G21" s="6">
        <f t="shared" si="0"/>
        <v>3.73</v>
      </c>
      <c r="H21" s="12">
        <f t="shared" si="1"/>
        <v>238.72</v>
      </c>
    </row>
    <row r="22" spans="1:11" x14ac:dyDescent="0.2">
      <c r="A22" s="44"/>
      <c r="B22" s="45"/>
      <c r="C22" s="9"/>
      <c r="D22" s="45"/>
      <c r="E22" s="7"/>
      <c r="F22" s="6"/>
      <c r="G22" s="6"/>
      <c r="H22" s="17"/>
    </row>
    <row r="23" spans="1:11" ht="15" x14ac:dyDescent="0.2">
      <c r="A23" s="22" t="s">
        <v>31</v>
      </c>
      <c r="B23" s="25"/>
      <c r="C23" s="24" t="s">
        <v>32</v>
      </c>
      <c r="D23" s="25"/>
      <c r="E23" s="26"/>
      <c r="F23" s="94" t="s">
        <v>58</v>
      </c>
      <c r="G23" s="95"/>
      <c r="H23" s="37">
        <f>H24+H25+H26</f>
        <v>15812.38</v>
      </c>
    </row>
    <row r="24" spans="1:11" ht="28.5" x14ac:dyDescent="0.2">
      <c r="A24" s="44" t="s">
        <v>103</v>
      </c>
      <c r="B24" s="45">
        <v>97086</v>
      </c>
      <c r="C24" s="9" t="s">
        <v>33</v>
      </c>
      <c r="D24" s="45" t="s">
        <v>12</v>
      </c>
      <c r="E24" s="7">
        <f>'memorial corrego cainana'!B14</f>
        <v>6.4</v>
      </c>
      <c r="F24" s="6">
        <v>117.97</v>
      </c>
      <c r="G24" s="6">
        <f t="shared" si="0"/>
        <v>147.46</v>
      </c>
      <c r="H24" s="12">
        <f t="shared" si="1"/>
        <v>943.74</v>
      </c>
    </row>
    <row r="25" spans="1:11" ht="28.5" x14ac:dyDescent="0.2">
      <c r="A25" s="44" t="s">
        <v>104</v>
      </c>
      <c r="B25" s="45">
        <v>92770</v>
      </c>
      <c r="C25" s="9" t="s">
        <v>35</v>
      </c>
      <c r="D25" s="45" t="s">
        <v>59</v>
      </c>
      <c r="E25" s="7">
        <f>'memorial corrego cainana'!I15</f>
        <v>172.73350000000002</v>
      </c>
      <c r="F25" s="6">
        <v>14.06</v>
      </c>
      <c r="G25" s="6">
        <f t="shared" si="0"/>
        <v>17.57</v>
      </c>
      <c r="H25" s="12">
        <f t="shared" si="1"/>
        <v>3034.92</v>
      </c>
    </row>
    <row r="26" spans="1:11" ht="28.5" x14ac:dyDescent="0.2">
      <c r="A26" s="44" t="s">
        <v>105</v>
      </c>
      <c r="B26" s="45">
        <v>97096</v>
      </c>
      <c r="C26" s="9" t="s">
        <v>34</v>
      </c>
      <c r="D26" s="45" t="s">
        <v>30</v>
      </c>
      <c r="E26" s="7">
        <f>'memorial corrego cainana'!B18</f>
        <v>11.196</v>
      </c>
      <c r="F26" s="6">
        <v>845.57</v>
      </c>
      <c r="G26" s="6">
        <f t="shared" si="0"/>
        <v>1056.96</v>
      </c>
      <c r="H26" s="12">
        <f t="shared" si="1"/>
        <v>11833.72</v>
      </c>
    </row>
    <row r="27" spans="1:11" x14ac:dyDescent="0.2">
      <c r="A27" s="44"/>
      <c r="B27" s="45"/>
      <c r="C27" s="9"/>
      <c r="D27" s="45"/>
      <c r="E27" s="7"/>
      <c r="F27" s="6"/>
      <c r="G27" s="6"/>
      <c r="H27" s="12"/>
    </row>
    <row r="28" spans="1:11" ht="15" x14ac:dyDescent="0.2">
      <c r="A28" s="22" t="s">
        <v>36</v>
      </c>
      <c r="B28" s="23"/>
      <c r="C28" s="24" t="s">
        <v>37</v>
      </c>
      <c r="D28" s="25"/>
      <c r="E28" s="26"/>
      <c r="F28" s="94" t="s">
        <v>58</v>
      </c>
      <c r="G28" s="95"/>
      <c r="H28" s="37">
        <f>H29+H30</f>
        <v>17989.62</v>
      </c>
    </row>
    <row r="29" spans="1:11" ht="28.5" x14ac:dyDescent="0.2">
      <c r="A29" s="44" t="s">
        <v>106</v>
      </c>
      <c r="B29" s="45">
        <v>89480</v>
      </c>
      <c r="C29" s="9" t="s">
        <v>38</v>
      </c>
      <c r="D29" s="45" t="s">
        <v>12</v>
      </c>
      <c r="E29" s="7">
        <f>'memorial corrego cainana'!G20</f>
        <v>56.15</v>
      </c>
      <c r="F29" s="6">
        <v>154.84</v>
      </c>
      <c r="G29" s="6">
        <f t="shared" si="0"/>
        <v>193.55</v>
      </c>
      <c r="H29" s="12">
        <f t="shared" si="1"/>
        <v>10867.83</v>
      </c>
    </row>
    <row r="30" spans="1:11" ht="28.5" x14ac:dyDescent="0.2">
      <c r="A30" s="44" t="s">
        <v>107</v>
      </c>
      <c r="B30" s="45">
        <v>97096</v>
      </c>
      <c r="C30" s="9" t="s">
        <v>86</v>
      </c>
      <c r="D30" s="45" t="s">
        <v>30</v>
      </c>
      <c r="E30" s="7">
        <f>E29*0.12</f>
        <v>6.7379999999999995</v>
      </c>
      <c r="F30" s="6">
        <v>845.57</v>
      </c>
      <c r="G30" s="6">
        <f t="shared" ref="G30" si="4">TRUNC(F30*$G$7+F30,2)</f>
        <v>1056.96</v>
      </c>
      <c r="H30" s="12">
        <f t="shared" ref="H30" si="5">TRUNC(G30*E30,2)</f>
        <v>7121.79</v>
      </c>
    </row>
    <row r="31" spans="1:11" x14ac:dyDescent="0.2">
      <c r="A31" s="44"/>
      <c r="B31" s="45"/>
      <c r="C31" s="9"/>
      <c r="D31" s="45"/>
      <c r="E31" s="7"/>
      <c r="F31" s="6"/>
      <c r="G31" s="6"/>
      <c r="H31" s="12"/>
    </row>
    <row r="32" spans="1:11" ht="15" x14ac:dyDescent="0.2">
      <c r="A32" s="22" t="s">
        <v>40</v>
      </c>
      <c r="B32" s="23"/>
      <c r="C32" s="24" t="s">
        <v>84</v>
      </c>
      <c r="D32" s="25"/>
      <c r="E32" s="26"/>
      <c r="F32" s="94" t="s">
        <v>58</v>
      </c>
      <c r="G32" s="95"/>
      <c r="H32" s="37">
        <f>H33+H34+H35</f>
        <v>46077.77</v>
      </c>
    </row>
    <row r="33" spans="1:13" x14ac:dyDescent="0.2">
      <c r="A33" s="44" t="s">
        <v>108</v>
      </c>
      <c r="B33" s="45">
        <v>92270</v>
      </c>
      <c r="C33" s="9" t="s">
        <v>41</v>
      </c>
      <c r="D33" s="45" t="s">
        <v>12</v>
      </c>
      <c r="E33" s="7">
        <f>'memorial corrego cainana'!C30</f>
        <v>8.3999999999999986</v>
      </c>
      <c r="F33" s="6">
        <v>158.07</v>
      </c>
      <c r="G33" s="6">
        <f t="shared" si="0"/>
        <v>197.58</v>
      </c>
      <c r="H33" s="12">
        <f t="shared" ref="H33:H47" si="6">TRUNC(G33*E33,2)</f>
        <v>1659.67</v>
      </c>
    </row>
    <row r="34" spans="1:13" ht="28.5" x14ac:dyDescent="0.2">
      <c r="A34" s="44" t="s">
        <v>109</v>
      </c>
      <c r="B34" s="45">
        <v>92762</v>
      </c>
      <c r="C34" s="9" t="s">
        <v>42</v>
      </c>
      <c r="D34" s="45" t="s">
        <v>43</v>
      </c>
      <c r="E34" s="7">
        <f>'memorial corrego cainana'!H25+'memorial corrego cainana'!H26</f>
        <v>2542.6560000000004</v>
      </c>
      <c r="F34" s="6">
        <v>13.09</v>
      </c>
      <c r="G34" s="6">
        <f t="shared" si="0"/>
        <v>16.36</v>
      </c>
      <c r="H34" s="12">
        <f t="shared" si="6"/>
        <v>41597.85</v>
      </c>
    </row>
    <row r="35" spans="1:13" ht="28.5" x14ac:dyDescent="0.2">
      <c r="A35" s="44" t="s">
        <v>110</v>
      </c>
      <c r="B35" s="45">
        <v>96555</v>
      </c>
      <c r="C35" s="9" t="s">
        <v>44</v>
      </c>
      <c r="D35" s="45" t="s">
        <v>30</v>
      </c>
      <c r="E35" s="7">
        <f>'memorial corrego cainana'!B26+'memorial corrego cainana'!B25</f>
        <v>2.9699999999999998</v>
      </c>
      <c r="F35" s="6">
        <v>759.67</v>
      </c>
      <c r="G35" s="6">
        <f t="shared" si="0"/>
        <v>949.58</v>
      </c>
      <c r="H35" s="12">
        <f t="shared" si="6"/>
        <v>2820.25</v>
      </c>
      <c r="M35" s="17" t="s">
        <v>134</v>
      </c>
    </row>
    <row r="36" spans="1:13" x14ac:dyDescent="0.2">
      <c r="A36" s="44"/>
      <c r="B36" s="45"/>
      <c r="C36" s="9"/>
      <c r="D36" s="45"/>
      <c r="E36" s="7"/>
      <c r="F36" s="6"/>
      <c r="G36" s="6"/>
      <c r="H36" s="12"/>
    </row>
    <row r="37" spans="1:13" ht="15" x14ac:dyDescent="0.2">
      <c r="A37" s="22" t="s">
        <v>46</v>
      </c>
      <c r="B37" s="23"/>
      <c r="C37" s="24" t="s">
        <v>85</v>
      </c>
      <c r="D37" s="25"/>
      <c r="E37" s="26"/>
      <c r="F37" s="94" t="s">
        <v>58</v>
      </c>
      <c r="G37" s="95"/>
      <c r="H37" s="37">
        <f>H38+H39+H40</f>
        <v>4096.55</v>
      </c>
    </row>
    <row r="38" spans="1:13" x14ac:dyDescent="0.2">
      <c r="A38" s="44" t="s">
        <v>111</v>
      </c>
      <c r="B38" s="45">
        <v>92270</v>
      </c>
      <c r="C38" s="9" t="s">
        <v>41</v>
      </c>
      <c r="D38" s="45" t="s">
        <v>12</v>
      </c>
      <c r="E38" s="7">
        <v>10.82</v>
      </c>
      <c r="F38" s="6">
        <v>158.07</v>
      </c>
      <c r="G38" s="6">
        <f t="shared" si="0"/>
        <v>197.58</v>
      </c>
      <c r="H38" s="12">
        <f t="shared" ref="H38:H40" si="7">TRUNC(G38*E38,2)</f>
        <v>2137.81</v>
      </c>
    </row>
    <row r="39" spans="1:13" ht="28.5" x14ac:dyDescent="0.2">
      <c r="A39" s="44" t="s">
        <v>112</v>
      </c>
      <c r="B39" s="45">
        <v>92762</v>
      </c>
      <c r="C39" s="9" t="s">
        <v>42</v>
      </c>
      <c r="D39" s="45" t="s">
        <v>43</v>
      </c>
      <c r="E39" s="7">
        <v>82</v>
      </c>
      <c r="F39" s="6">
        <v>13.09</v>
      </c>
      <c r="G39" s="6">
        <f t="shared" si="0"/>
        <v>16.36</v>
      </c>
      <c r="H39" s="12">
        <f t="shared" si="7"/>
        <v>1341.52</v>
      </c>
    </row>
    <row r="40" spans="1:13" ht="28.5" x14ac:dyDescent="0.2">
      <c r="A40" s="44" t="s">
        <v>113</v>
      </c>
      <c r="B40" s="45">
        <v>96555</v>
      </c>
      <c r="C40" s="9" t="s">
        <v>44</v>
      </c>
      <c r="D40" s="45" t="s">
        <v>30</v>
      </c>
      <c r="E40" s="7">
        <v>0.65</v>
      </c>
      <c r="F40" s="6">
        <v>759.67</v>
      </c>
      <c r="G40" s="6">
        <f t="shared" si="0"/>
        <v>949.58</v>
      </c>
      <c r="H40" s="12">
        <f t="shared" si="7"/>
        <v>617.22</v>
      </c>
    </row>
    <row r="41" spans="1:13" x14ac:dyDescent="0.2">
      <c r="A41" s="44"/>
      <c r="B41" s="45"/>
      <c r="C41" s="9"/>
      <c r="D41" s="45"/>
      <c r="E41" s="7"/>
      <c r="F41" s="6"/>
      <c r="G41" s="6"/>
      <c r="H41" s="12"/>
    </row>
    <row r="42" spans="1:13" x14ac:dyDescent="0.2">
      <c r="A42" s="44"/>
      <c r="B42" s="45"/>
      <c r="C42" s="9"/>
      <c r="D42" s="45"/>
      <c r="E42" s="7"/>
      <c r="F42" s="6"/>
      <c r="G42" s="6"/>
      <c r="H42" s="12"/>
      <c r="I42" s="40"/>
    </row>
    <row r="43" spans="1:13" ht="15" x14ac:dyDescent="0.2">
      <c r="A43" s="22" t="s">
        <v>94</v>
      </c>
      <c r="B43" s="23"/>
      <c r="C43" s="24" t="s">
        <v>45</v>
      </c>
      <c r="D43" s="25"/>
      <c r="E43" s="26"/>
      <c r="F43" s="94" t="s">
        <v>58</v>
      </c>
      <c r="G43" s="95"/>
      <c r="H43" s="37">
        <f>H44+H45+H46+H47</f>
        <v>19721.189999999999</v>
      </c>
      <c r="I43" s="40"/>
    </row>
    <row r="44" spans="1:13" ht="28.5" x14ac:dyDescent="0.2">
      <c r="A44" s="44" t="s">
        <v>114</v>
      </c>
      <c r="B44" s="45">
        <v>92482</v>
      </c>
      <c r="C44" s="9" t="s">
        <v>47</v>
      </c>
      <c r="D44" s="45" t="s">
        <v>12</v>
      </c>
      <c r="E44" s="7">
        <v>14.5</v>
      </c>
      <c r="F44" s="6">
        <v>209.85</v>
      </c>
      <c r="G44" s="6">
        <f t="shared" si="0"/>
        <v>262.31</v>
      </c>
      <c r="H44" s="12">
        <f t="shared" si="6"/>
        <v>3803.49</v>
      </c>
      <c r="I44" s="40"/>
    </row>
    <row r="45" spans="1:13" ht="28.5" x14ac:dyDescent="0.2">
      <c r="A45" s="44" t="s">
        <v>115</v>
      </c>
      <c r="B45" s="45">
        <v>101792</v>
      </c>
      <c r="C45" s="9" t="s">
        <v>48</v>
      </c>
      <c r="D45" s="45" t="s">
        <v>70</v>
      </c>
      <c r="E45" s="7">
        <f>E44</f>
        <v>14.5</v>
      </c>
      <c r="F45" s="6">
        <v>18.739999999999998</v>
      </c>
      <c r="G45" s="6">
        <f t="shared" si="0"/>
        <v>23.42</v>
      </c>
      <c r="H45" s="12">
        <f t="shared" si="6"/>
        <v>339.59</v>
      </c>
      <c r="I45" s="40"/>
    </row>
    <row r="46" spans="1:13" ht="28.5" x14ac:dyDescent="0.2">
      <c r="A46" s="44" t="s">
        <v>116</v>
      </c>
      <c r="B46" s="45">
        <v>92771</v>
      </c>
      <c r="C46" s="9" t="s">
        <v>131</v>
      </c>
      <c r="D46" s="45" t="s">
        <v>43</v>
      </c>
      <c r="E46" s="7">
        <f>E25</f>
        <v>172.73350000000002</v>
      </c>
      <c r="F46" s="6">
        <v>12.69</v>
      </c>
      <c r="G46" s="6">
        <f t="shared" si="0"/>
        <v>15.86</v>
      </c>
      <c r="H46" s="12">
        <f t="shared" si="6"/>
        <v>2739.55</v>
      </c>
      <c r="I46" s="40"/>
    </row>
    <row r="47" spans="1:13" ht="28.5" x14ac:dyDescent="0.2">
      <c r="A47" s="44" t="s">
        <v>117</v>
      </c>
      <c r="B47" s="45">
        <v>99431</v>
      </c>
      <c r="C47" s="9" t="s">
        <v>49</v>
      </c>
      <c r="D47" s="45" t="s">
        <v>30</v>
      </c>
      <c r="E47" s="7">
        <f>E26</f>
        <v>11.196</v>
      </c>
      <c r="F47" s="6">
        <v>917.37</v>
      </c>
      <c r="G47" s="6">
        <f t="shared" si="0"/>
        <v>1146.71</v>
      </c>
      <c r="H47" s="12">
        <f t="shared" si="6"/>
        <v>12838.56</v>
      </c>
      <c r="I47" s="40"/>
    </row>
    <row r="48" spans="1:13" x14ac:dyDescent="0.2">
      <c r="A48" s="44"/>
      <c r="B48" s="45"/>
      <c r="C48" s="9"/>
      <c r="D48" s="45"/>
      <c r="E48" s="7"/>
      <c r="F48" s="6"/>
      <c r="G48" s="6"/>
      <c r="H48" s="12"/>
      <c r="I48" s="40"/>
    </row>
    <row r="49" spans="1:10" ht="15" x14ac:dyDescent="0.2">
      <c r="A49" s="22" t="s">
        <v>95</v>
      </c>
      <c r="B49" s="23"/>
      <c r="C49" s="24" t="s">
        <v>78</v>
      </c>
      <c r="D49" s="25"/>
      <c r="E49" s="26"/>
      <c r="F49" s="94" t="s">
        <v>58</v>
      </c>
      <c r="G49" s="95"/>
      <c r="H49" s="37">
        <f>H50+H51+H52+H53</f>
        <v>5689.24</v>
      </c>
      <c r="I49" s="40"/>
    </row>
    <row r="50" spans="1:10" ht="28.5" x14ac:dyDescent="0.2">
      <c r="A50" s="44" t="s">
        <v>118</v>
      </c>
      <c r="B50" s="45">
        <v>89464</v>
      </c>
      <c r="C50" s="9" t="s">
        <v>38</v>
      </c>
      <c r="D50" s="45" t="s">
        <v>12</v>
      </c>
      <c r="E50" s="7">
        <f>'memorial corrego cainana'!G29</f>
        <v>9.1999999999999993</v>
      </c>
      <c r="F50" s="6">
        <v>136.78</v>
      </c>
      <c r="G50" s="6">
        <f t="shared" si="0"/>
        <v>170.97</v>
      </c>
      <c r="H50" s="12">
        <f t="shared" ref="H50:H51" si="8">TRUNC(G50*E50,2)</f>
        <v>1572.92</v>
      </c>
      <c r="I50" s="40"/>
    </row>
    <row r="51" spans="1:10" ht="28.5" x14ac:dyDescent="0.2">
      <c r="A51" s="44" t="s">
        <v>119</v>
      </c>
      <c r="B51" s="45">
        <v>97096</v>
      </c>
      <c r="C51" s="9" t="s">
        <v>80</v>
      </c>
      <c r="D51" s="45" t="s">
        <v>30</v>
      </c>
      <c r="E51" s="7">
        <f>'memorial corrego cainana'!G30</f>
        <v>1.8724999999999998</v>
      </c>
      <c r="F51" s="6">
        <v>845.57</v>
      </c>
      <c r="G51" s="6">
        <f t="shared" si="0"/>
        <v>1056.96</v>
      </c>
      <c r="H51" s="12">
        <f t="shared" si="8"/>
        <v>1979.15</v>
      </c>
      <c r="I51" s="40"/>
      <c r="J51" s="40"/>
    </row>
    <row r="52" spans="1:10" ht="28.5" x14ac:dyDescent="0.2">
      <c r="A52" s="44" t="s">
        <v>120</v>
      </c>
      <c r="B52" s="45">
        <v>97096</v>
      </c>
      <c r="C52" s="9" t="s">
        <v>83</v>
      </c>
      <c r="D52" s="45" t="s">
        <v>30</v>
      </c>
      <c r="E52" s="7">
        <f>'memorial corrego cainana'!H31</f>
        <v>2.0219999999999998</v>
      </c>
      <c r="F52" s="6">
        <v>845.57</v>
      </c>
      <c r="G52" s="6">
        <f t="shared" si="0"/>
        <v>1056.96</v>
      </c>
      <c r="H52" s="12">
        <f t="shared" ref="H52" si="9">TRUNC(G52*E52,2)</f>
        <v>2137.17</v>
      </c>
      <c r="I52" s="40"/>
      <c r="J52" s="40"/>
    </row>
    <row r="53" spans="1:10" x14ac:dyDescent="0.2">
      <c r="A53" s="44"/>
      <c r="B53" s="45"/>
      <c r="C53" s="9"/>
      <c r="D53" s="45"/>
      <c r="E53" s="7"/>
      <c r="F53" s="6"/>
      <c r="G53" s="6">
        <f t="shared" si="0"/>
        <v>0</v>
      </c>
      <c r="H53" s="12">
        <f t="shared" ref="H53:H55" si="10">TRUNC(G53*E53,2)</f>
        <v>0</v>
      </c>
      <c r="I53" s="40"/>
    </row>
    <row r="54" spans="1:10" ht="15" x14ac:dyDescent="0.2">
      <c r="A54" s="22" t="s">
        <v>96</v>
      </c>
      <c r="B54" s="23"/>
      <c r="C54" s="24" t="s">
        <v>87</v>
      </c>
      <c r="D54" s="25"/>
      <c r="E54" s="26"/>
      <c r="F54" s="94" t="s">
        <v>58</v>
      </c>
      <c r="G54" s="95"/>
      <c r="H54" s="37">
        <f>H55</f>
        <v>12529.92</v>
      </c>
      <c r="I54" s="40"/>
    </row>
    <row r="55" spans="1:10" ht="42.75" x14ac:dyDescent="0.2">
      <c r="A55" s="44" t="s">
        <v>121</v>
      </c>
      <c r="B55" s="45">
        <v>101238</v>
      </c>
      <c r="C55" s="9" t="s">
        <v>88</v>
      </c>
      <c r="D55" s="45" t="s">
        <v>30</v>
      </c>
      <c r="E55" s="7">
        <f>'memorial corrego cainana'!B36</f>
        <v>384</v>
      </c>
      <c r="F55" s="6">
        <v>26.11</v>
      </c>
      <c r="G55" s="6">
        <f t="shared" si="0"/>
        <v>32.630000000000003</v>
      </c>
      <c r="H55" s="12">
        <f t="shared" si="10"/>
        <v>12529.92</v>
      </c>
      <c r="I55" s="40"/>
    </row>
    <row r="56" spans="1:10" x14ac:dyDescent="0.2">
      <c r="A56" s="44"/>
      <c r="B56" s="45"/>
      <c r="C56" s="9"/>
      <c r="D56" s="45"/>
      <c r="E56" s="7"/>
      <c r="F56" s="6"/>
      <c r="G56" s="6"/>
      <c r="H56" s="12"/>
      <c r="I56" s="40"/>
    </row>
    <row r="57" spans="1:10" x14ac:dyDescent="0.2">
      <c r="A57" s="88"/>
      <c r="B57" s="89"/>
      <c r="C57" s="89"/>
      <c r="D57" s="89"/>
      <c r="E57" s="89"/>
      <c r="F57" s="8"/>
      <c r="G57" s="8"/>
      <c r="H57" s="11"/>
    </row>
    <row r="58" spans="1:10" ht="15" x14ac:dyDescent="0.2">
      <c r="A58" s="88"/>
      <c r="B58" s="89"/>
      <c r="C58" s="89"/>
      <c r="D58" s="89"/>
      <c r="E58" s="89"/>
      <c r="F58" s="90" t="s">
        <v>11</v>
      </c>
      <c r="G58" s="90"/>
      <c r="H58" s="10">
        <f>H14+H19+H23+H28+H32+H43+H49+H37+H54</f>
        <v>139211.91</v>
      </c>
    </row>
    <row r="59" spans="1:10" x14ac:dyDescent="0.2">
      <c r="A59" s="88"/>
      <c r="B59" s="89"/>
      <c r="C59" s="89"/>
      <c r="D59" s="89"/>
      <c r="E59" s="89"/>
      <c r="F59" s="8"/>
      <c r="G59" s="8"/>
      <c r="H59" s="11"/>
    </row>
    <row r="60" spans="1:10" ht="15.75" thickBot="1" x14ac:dyDescent="0.3">
      <c r="A60" s="91"/>
      <c r="B60" s="92"/>
      <c r="C60" s="92"/>
      <c r="D60" s="92"/>
      <c r="E60" s="92"/>
      <c r="F60" s="92"/>
      <c r="G60" s="92"/>
      <c r="H60" s="93"/>
    </row>
    <row r="62" spans="1:10" x14ac:dyDescent="0.2">
      <c r="H62" s="16">
        <f>H58/8</f>
        <v>17401.48875</v>
      </c>
    </row>
  </sheetData>
  <mergeCells count="31">
    <mergeCell ref="A1:H4"/>
    <mergeCell ref="F54:G54"/>
    <mergeCell ref="A57:E59"/>
    <mergeCell ref="F58:G58"/>
    <mergeCell ref="A60:H60"/>
    <mergeCell ref="B7:C7"/>
    <mergeCell ref="D7:E8"/>
    <mergeCell ref="B8:C8"/>
    <mergeCell ref="A9:H10"/>
    <mergeCell ref="A11:A12"/>
    <mergeCell ref="B11:B12"/>
    <mergeCell ref="C11:C12"/>
    <mergeCell ref="D11:D12"/>
    <mergeCell ref="E11:E12"/>
    <mergeCell ref="F11:F12"/>
    <mergeCell ref="G11:G12"/>
    <mergeCell ref="A13:H13"/>
    <mergeCell ref="F14:G14"/>
    <mergeCell ref="F23:G23"/>
    <mergeCell ref="F28:G28"/>
    <mergeCell ref="B5:C5"/>
    <mergeCell ref="D5:E6"/>
    <mergeCell ref="F5:F6"/>
    <mergeCell ref="G5:G6"/>
    <mergeCell ref="B6:C6"/>
    <mergeCell ref="H11:H12"/>
    <mergeCell ref="F32:G32"/>
    <mergeCell ref="F43:G43"/>
    <mergeCell ref="F49:G49"/>
    <mergeCell ref="F37:G37"/>
    <mergeCell ref="F19:G19"/>
  </mergeCells>
  <conditionalFormatting sqref="H58">
    <cfRule type="expression" dxfId="2" priority="382">
      <formula>CONCATENATE($C58,$D58,$E58,$F58,$G58,#REF!,#REF!,#REF!)=""</formula>
    </cfRule>
    <cfRule type="expression" dxfId="1" priority="383">
      <formula>CONCATENATE($C58,$D58,$F58,$G58,#REF!,#REF!,#REF!)=""</formula>
    </cfRule>
    <cfRule type="expression" dxfId="0" priority="384">
      <formula>CONCATENATE($D58,$F58,$G58,#REF!,#REF!)=""</formula>
    </cfRule>
  </conditionalFormatting>
  <printOptions horizontalCentered="1" verticalCentered="1"/>
  <pageMargins left="0.31496062992125984" right="0" top="0.78740157480314965" bottom="0.39370078740157483" header="0.31496062992125984" footer="0.31496062992125984"/>
  <pageSetup paperSize="9" scale="42" fitToWidth="0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workbookViewId="0">
      <selection activeCell="B36" sqref="B36"/>
    </sheetView>
  </sheetViews>
  <sheetFormatPr defaultRowHeight="15" x14ac:dyDescent="0.25"/>
  <cols>
    <col min="2" max="2" width="23.28515625" bestFit="1" customWidth="1"/>
    <col min="4" max="4" width="46.28515625" customWidth="1"/>
    <col min="5" max="5" width="17.28515625" bestFit="1" customWidth="1"/>
    <col min="6" max="6" width="16" bestFit="1" customWidth="1"/>
    <col min="7" max="7" width="9.42578125" style="1" bestFit="1" customWidth="1"/>
    <col min="8" max="8" width="17.28515625" bestFit="1" customWidth="1"/>
    <col min="9" max="9" width="9.28515625" bestFit="1" customWidth="1"/>
    <col min="10" max="10" width="17.28515625" bestFit="1" customWidth="1"/>
    <col min="11" max="11" width="9.28515625" bestFit="1" customWidth="1"/>
  </cols>
  <sheetData>
    <row r="1" spans="1:11" ht="15.75" thickBot="1" x14ac:dyDescent="0.3"/>
    <row r="2" spans="1:11" ht="15.75" customHeight="1" x14ac:dyDescent="0.25">
      <c r="A2" s="144" t="s">
        <v>92</v>
      </c>
      <c r="B2" s="145"/>
      <c r="C2" s="145"/>
      <c r="D2" s="145"/>
      <c r="E2" s="145"/>
      <c r="F2" s="145"/>
      <c r="G2" s="145"/>
      <c r="H2" s="145"/>
      <c r="I2" s="145"/>
      <c r="J2" s="145"/>
      <c r="K2" s="146"/>
    </row>
    <row r="3" spans="1:11" ht="15" customHeight="1" x14ac:dyDescent="0.25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9"/>
    </row>
    <row r="4" spans="1:11" ht="15" customHeight="1" x14ac:dyDescent="0.25">
      <c r="A4" s="147"/>
      <c r="B4" s="148"/>
      <c r="C4" s="148"/>
      <c r="D4" s="148"/>
      <c r="E4" s="148"/>
      <c r="F4" s="148"/>
      <c r="G4" s="148"/>
      <c r="H4" s="148"/>
      <c r="I4" s="148"/>
      <c r="J4" s="148"/>
      <c r="K4" s="149"/>
    </row>
    <row r="5" spans="1:11" ht="15.75" customHeight="1" thickBot="1" x14ac:dyDescent="0.3">
      <c r="A5" s="150"/>
      <c r="B5" s="151"/>
      <c r="C5" s="151"/>
      <c r="D5" s="151"/>
      <c r="E5" s="151"/>
      <c r="F5" s="151"/>
      <c r="G5" s="151"/>
      <c r="H5" s="151"/>
      <c r="I5" s="151"/>
      <c r="J5" s="151"/>
      <c r="K5" s="152"/>
    </row>
    <row r="6" spans="1:11" ht="24" thickBot="1" x14ac:dyDescent="0.4">
      <c r="A6" s="153" t="s">
        <v>13</v>
      </c>
      <c r="B6" s="154"/>
      <c r="C6" s="154"/>
      <c r="D6" s="154"/>
      <c r="E6" s="154"/>
      <c r="F6" s="154"/>
      <c r="G6" s="154"/>
      <c r="H6" s="154"/>
      <c r="I6" s="154"/>
      <c r="J6" s="154"/>
      <c r="K6" s="155"/>
    </row>
    <row r="7" spans="1:11" ht="15.75" customHeight="1" thickBot="1" x14ac:dyDescent="0.3">
      <c r="A7" s="51" t="str">
        <f>'orçametno 1'!A5</f>
        <v xml:space="preserve">OBRA: </v>
      </c>
      <c r="B7" s="156" t="str">
        <f>'orçametno 1'!B5:C5</f>
        <v xml:space="preserve">Bueiro celular corrego Cainana </v>
      </c>
      <c r="C7" s="157"/>
      <c r="D7" s="157"/>
      <c r="E7" s="158"/>
      <c r="F7" s="52"/>
      <c r="G7" s="52"/>
      <c r="H7" s="52"/>
      <c r="I7" s="52"/>
      <c r="J7" s="52"/>
      <c r="K7" s="53"/>
    </row>
    <row r="8" spans="1:11" ht="16.5" customHeight="1" thickBot="1" x14ac:dyDescent="0.3">
      <c r="A8" s="54" t="str">
        <f>'orçametno 1'!A6</f>
        <v>LOCAL:</v>
      </c>
      <c r="B8" s="55" t="str">
        <f>'orçametno 1'!B6:C6</f>
        <v>S 16° 0' 34'' , W 54° 51' 46''</v>
      </c>
      <c r="C8" s="56"/>
      <c r="D8" s="56"/>
      <c r="E8" s="57"/>
      <c r="F8" s="52"/>
      <c r="G8" s="52"/>
      <c r="H8" s="52"/>
      <c r="I8" s="52"/>
      <c r="J8" s="52"/>
      <c r="K8" s="53"/>
    </row>
    <row r="9" spans="1:11" ht="15.75" thickBot="1" x14ac:dyDescent="0.3">
      <c r="A9" s="159"/>
      <c r="B9" s="160"/>
      <c r="C9" s="160"/>
      <c r="D9" s="160"/>
      <c r="E9" s="161"/>
      <c r="F9" s="162" t="s">
        <v>15</v>
      </c>
      <c r="G9" s="163"/>
      <c r="H9" s="162" t="s">
        <v>17</v>
      </c>
      <c r="I9" s="163"/>
      <c r="J9" s="162" t="s">
        <v>124</v>
      </c>
      <c r="K9" s="163"/>
    </row>
    <row r="10" spans="1:11" ht="32.25" customHeight="1" x14ac:dyDescent="0.25">
      <c r="A10" s="58" t="s">
        <v>122</v>
      </c>
      <c r="B10" s="138" t="s">
        <v>7</v>
      </c>
      <c r="C10" s="138"/>
      <c r="D10" s="138"/>
      <c r="E10" s="59" t="s">
        <v>123</v>
      </c>
      <c r="F10" s="60"/>
      <c r="G10" s="60"/>
      <c r="H10" s="60"/>
      <c r="I10" s="61"/>
      <c r="J10" s="60"/>
      <c r="K10" s="61"/>
    </row>
    <row r="11" spans="1:11" x14ac:dyDescent="0.25">
      <c r="A11" s="62" t="str">
        <f>'orçametno 1'!A14</f>
        <v>1.0</v>
      </c>
      <c r="B11" s="139" t="str">
        <f>'orçametno 1'!C14</f>
        <v>ADM</v>
      </c>
      <c r="C11" s="139"/>
      <c r="D11" s="139"/>
      <c r="E11" s="63">
        <f>'orçametno 1'!H14</f>
        <v>16071.32</v>
      </c>
      <c r="F11" s="64">
        <f>E11/3</f>
        <v>5357.1066666666666</v>
      </c>
      <c r="G11" s="65">
        <f>F11/$E$21</f>
        <v>3.8481669180939093E-2</v>
      </c>
      <c r="H11" s="64">
        <f>F11</f>
        <v>5357.1066666666666</v>
      </c>
      <c r="I11" s="65">
        <f>H11/$E$21</f>
        <v>3.8481669180939093E-2</v>
      </c>
      <c r="J11" s="64">
        <f>H11</f>
        <v>5357.1066666666666</v>
      </c>
      <c r="K11" s="66">
        <f>J11/$E$21</f>
        <v>3.8481669180939093E-2</v>
      </c>
    </row>
    <row r="12" spans="1:11" x14ac:dyDescent="0.25">
      <c r="A12" s="62" t="str">
        <f>'orçametno 1'!A19</f>
        <v>2.0</v>
      </c>
      <c r="B12" s="139" t="str">
        <f>'orçametno 1'!C19</f>
        <v>SERVIÇOS PRELIMINARES</v>
      </c>
      <c r="C12" s="139"/>
      <c r="D12" s="139"/>
      <c r="E12" s="63">
        <f>'orçametno 1'!H19</f>
        <v>1223.92</v>
      </c>
      <c r="F12" s="67">
        <f>E12</f>
        <v>1223.92</v>
      </c>
      <c r="G12" s="65">
        <f t="shared" ref="G12:I18" si="0">F12/$E$21</f>
        <v>8.7917765082024951E-3</v>
      </c>
      <c r="H12" s="68"/>
      <c r="I12" s="65">
        <f t="shared" si="0"/>
        <v>0</v>
      </c>
      <c r="J12" s="68"/>
      <c r="K12" s="66">
        <f t="shared" ref="K12" si="1">J12/$E$21</f>
        <v>0</v>
      </c>
    </row>
    <row r="13" spans="1:11" x14ac:dyDescent="0.25">
      <c r="A13" s="62" t="str">
        <f>'orçametno 1'!A23</f>
        <v>3.0</v>
      </c>
      <c r="B13" s="139" t="str">
        <f>'orçametno 1'!C23</f>
        <v>PISO (LAJE)</v>
      </c>
      <c r="C13" s="139"/>
      <c r="D13" s="139"/>
      <c r="E13" s="63">
        <f>'orçametno 1'!H23</f>
        <v>15812.38</v>
      </c>
      <c r="F13" s="64">
        <f>E13/2</f>
        <v>7906.19</v>
      </c>
      <c r="G13" s="65">
        <f t="shared" si="0"/>
        <v>5.67924827696136E-2</v>
      </c>
      <c r="H13" s="64">
        <f>F13</f>
        <v>7906.19</v>
      </c>
      <c r="I13" s="65">
        <f t="shared" si="0"/>
        <v>5.67924827696136E-2</v>
      </c>
      <c r="J13" s="68"/>
      <c r="K13" s="66">
        <f t="shared" ref="K13" si="2">J13/$E$21</f>
        <v>0</v>
      </c>
    </row>
    <row r="14" spans="1:11" x14ac:dyDescent="0.25">
      <c r="A14" s="62" t="str">
        <f>'orçametno 1'!A28</f>
        <v>4.0</v>
      </c>
      <c r="B14" s="139" t="str">
        <f>'orçametno 1'!C28</f>
        <v xml:space="preserve">ALVENARIA ESTRUTURAL </v>
      </c>
      <c r="C14" s="139"/>
      <c r="D14" s="139"/>
      <c r="E14" s="63">
        <f>'orçametno 1'!H28</f>
        <v>17989.62</v>
      </c>
      <c r="F14" s="64">
        <f>E14/3</f>
        <v>5996.54</v>
      </c>
      <c r="G14" s="65">
        <f t="shared" si="0"/>
        <v>4.3074906450173693E-2</v>
      </c>
      <c r="H14" s="64">
        <f>F14</f>
        <v>5996.54</v>
      </c>
      <c r="I14" s="65">
        <f t="shared" si="0"/>
        <v>4.3074906450173693E-2</v>
      </c>
      <c r="J14" s="64">
        <f>H14</f>
        <v>5996.54</v>
      </c>
      <c r="K14" s="66">
        <f t="shared" ref="K14" si="3">J14/$E$21</f>
        <v>4.3074906450173693E-2</v>
      </c>
    </row>
    <row r="15" spans="1:11" x14ac:dyDescent="0.25">
      <c r="A15" s="62" t="str">
        <f>'orçametno 1'!A32</f>
        <v>5.0</v>
      </c>
      <c r="B15" s="139" t="str">
        <f>'orçametno 1'!C32</f>
        <v>ESTRUTURAS PILARES</v>
      </c>
      <c r="C15" s="139"/>
      <c r="D15" s="139"/>
      <c r="E15" s="63">
        <f>'orçametno 1'!H32</f>
        <v>46077.77</v>
      </c>
      <c r="F15" s="64">
        <f>E15/2</f>
        <v>23038.884999999998</v>
      </c>
      <c r="G15" s="65">
        <f t="shared" si="0"/>
        <v>0.16549507150645371</v>
      </c>
      <c r="H15" s="64">
        <f>F15</f>
        <v>23038.884999999998</v>
      </c>
      <c r="I15" s="65">
        <f t="shared" si="0"/>
        <v>0.16549507150645371</v>
      </c>
      <c r="J15" s="68"/>
      <c r="K15" s="66">
        <f t="shared" ref="K15" si="4">J15/$E$21</f>
        <v>0</v>
      </c>
    </row>
    <row r="16" spans="1:11" x14ac:dyDescent="0.25">
      <c r="A16" s="69" t="str">
        <f>'orçametno 1'!A37</f>
        <v>6.0</v>
      </c>
      <c r="B16" s="140" t="str">
        <f>'orçametno 1'!C37</f>
        <v>ESTRUTURAS VIGAS</v>
      </c>
      <c r="C16" s="140"/>
      <c r="D16" s="140"/>
      <c r="E16" s="70">
        <f>'orçametno 1'!H37</f>
        <v>4096.55</v>
      </c>
      <c r="F16" s="71">
        <f>E16</f>
        <v>4096.55</v>
      </c>
      <c r="G16" s="65">
        <f t="shared" si="0"/>
        <v>2.9426720745373006E-2</v>
      </c>
      <c r="H16" s="71"/>
      <c r="I16" s="65">
        <f t="shared" si="0"/>
        <v>0</v>
      </c>
      <c r="J16" s="71"/>
      <c r="K16" s="66">
        <f t="shared" ref="K16" si="5">J16/$E$21</f>
        <v>0</v>
      </c>
    </row>
    <row r="17" spans="1:11" x14ac:dyDescent="0.25">
      <c r="A17" s="69" t="str">
        <f>'orçametno 1'!A43</f>
        <v>7.0</v>
      </c>
      <c r="B17" s="140" t="str">
        <f>'orçametno 1'!C43</f>
        <v>LAJE</v>
      </c>
      <c r="C17" s="140"/>
      <c r="D17" s="140"/>
      <c r="E17" s="70">
        <f>'orçametno 1'!H43</f>
        <v>19721.189999999999</v>
      </c>
      <c r="F17" s="71"/>
      <c r="G17" s="65">
        <f t="shared" si="0"/>
        <v>0</v>
      </c>
      <c r="H17" s="71">
        <f>E17/2</f>
        <v>9860.5949999999993</v>
      </c>
      <c r="I17" s="65">
        <f t="shared" si="0"/>
        <v>7.0831547387001578E-2</v>
      </c>
      <c r="J17" s="71">
        <f>H17</f>
        <v>9860.5949999999993</v>
      </c>
      <c r="K17" s="66">
        <f t="shared" ref="K17" si="6">J17/$E$21</f>
        <v>7.0831547387001578E-2</v>
      </c>
    </row>
    <row r="18" spans="1:11" x14ac:dyDescent="0.25">
      <c r="A18" s="69" t="str">
        <f>'orçametno 1'!A49</f>
        <v>8.0</v>
      </c>
      <c r="B18" s="140" t="str">
        <f>'orçametno 1'!C49</f>
        <v>ALAS DO BUEIRO</v>
      </c>
      <c r="C18" s="140"/>
      <c r="D18" s="140"/>
      <c r="E18" s="70">
        <f>'orçametno 1'!H49</f>
        <v>5689.24</v>
      </c>
      <c r="F18" s="71"/>
      <c r="G18" s="65">
        <f t="shared" si="0"/>
        <v>0</v>
      </c>
      <c r="H18" s="71">
        <f>E18/2</f>
        <v>2844.62</v>
      </c>
      <c r="I18" s="65">
        <f t="shared" si="0"/>
        <v>2.0433740187890532E-2</v>
      </c>
      <c r="J18" s="71">
        <f>H18</f>
        <v>2844.62</v>
      </c>
      <c r="K18" s="66">
        <f t="shared" ref="K18" si="7">J18/$E$21</f>
        <v>2.0433740187890532E-2</v>
      </c>
    </row>
    <row r="19" spans="1:11" ht="15.75" thickBot="1" x14ac:dyDescent="0.3">
      <c r="A19" s="72" t="str">
        <f>'orçametno 1'!A54</f>
        <v>9.0</v>
      </c>
      <c r="B19" s="141" t="str">
        <f>'orçametno 1'!C54</f>
        <v>ESCAVAÇÃO (CARGA E DESCARGA)</v>
      </c>
      <c r="C19" s="141"/>
      <c r="D19" s="141"/>
      <c r="E19" s="73">
        <f>'orçametno 1'!H54</f>
        <v>12529.92</v>
      </c>
      <c r="F19" s="74">
        <f>E19/3</f>
        <v>4176.6400000000003</v>
      </c>
      <c r="G19" s="65">
        <f>F19/$E$21</f>
        <v>3.0002030717055747E-2</v>
      </c>
      <c r="H19" s="74">
        <f>F19</f>
        <v>4176.6400000000003</v>
      </c>
      <c r="I19" s="65">
        <f>H19/$E$21</f>
        <v>3.0002030717055747E-2</v>
      </c>
      <c r="J19" s="74">
        <f>H19</f>
        <v>4176.6400000000003</v>
      </c>
      <c r="K19" s="66">
        <f>J19/$E$21</f>
        <v>3.0002030717055747E-2</v>
      </c>
    </row>
    <row r="20" spans="1:11" ht="15.75" thickBot="1" x14ac:dyDescent="0.3">
      <c r="A20" s="75"/>
      <c r="B20" s="142"/>
      <c r="C20" s="143"/>
      <c r="D20" s="143"/>
      <c r="E20" s="76"/>
      <c r="F20" s="77"/>
      <c r="G20" s="78"/>
      <c r="H20" s="77"/>
      <c r="I20" s="78"/>
      <c r="J20" s="77"/>
      <c r="K20" s="78"/>
    </row>
    <row r="21" spans="1:11" ht="16.5" thickBot="1" x14ac:dyDescent="0.3">
      <c r="A21" s="136" t="s">
        <v>125</v>
      </c>
      <c r="B21" s="137"/>
      <c r="C21" s="137"/>
      <c r="D21" s="137"/>
      <c r="E21" s="79">
        <f t="shared" ref="E21:K21" si="8">SUM(E11:E19)</f>
        <v>139211.91</v>
      </c>
      <c r="F21" s="80">
        <f t="shared" si="8"/>
        <v>51795.831666666665</v>
      </c>
      <c r="G21" s="81">
        <f t="shared" si="8"/>
        <v>0.37206465787781134</v>
      </c>
      <c r="H21" s="80">
        <f t="shared" si="8"/>
        <v>59180.576666666668</v>
      </c>
      <c r="I21" s="81">
        <f t="shared" si="8"/>
        <v>0.42511144819912799</v>
      </c>
      <c r="J21" s="80">
        <f t="shared" si="8"/>
        <v>28235.501666666667</v>
      </c>
      <c r="K21" s="81">
        <f t="shared" si="8"/>
        <v>0.20282389392306066</v>
      </c>
    </row>
    <row r="22" spans="1:11" ht="16.5" thickBot="1" x14ac:dyDescent="0.3">
      <c r="A22" s="82"/>
      <c r="B22" s="83"/>
      <c r="C22" s="83"/>
      <c r="D22" s="83"/>
      <c r="E22" s="83"/>
      <c r="F22" s="84">
        <f>F21</f>
        <v>51795.831666666665</v>
      </c>
      <c r="G22" s="85">
        <f>G21</f>
        <v>0.37206465787781134</v>
      </c>
      <c r="H22" s="84">
        <f>H21+F22</f>
        <v>110976.40833333333</v>
      </c>
      <c r="I22" s="86">
        <f>I21+G22</f>
        <v>0.79717610607693934</v>
      </c>
      <c r="J22" s="84">
        <f>J21+H22</f>
        <v>139211.91</v>
      </c>
      <c r="K22" s="86">
        <f>K21+I22</f>
        <v>1</v>
      </c>
    </row>
  </sheetData>
  <mergeCells count="19">
    <mergeCell ref="A21:D21"/>
    <mergeCell ref="B20:D20"/>
    <mergeCell ref="B18:D18"/>
    <mergeCell ref="H9:I9"/>
    <mergeCell ref="B16:D16"/>
    <mergeCell ref="A9:E9"/>
    <mergeCell ref="B14:D14"/>
    <mergeCell ref="B19:D19"/>
    <mergeCell ref="B15:D15"/>
    <mergeCell ref="B12:D12"/>
    <mergeCell ref="B13:D13"/>
    <mergeCell ref="B10:D10"/>
    <mergeCell ref="B17:D17"/>
    <mergeCell ref="F9:G9"/>
    <mergeCell ref="J9:K9"/>
    <mergeCell ref="A6:K6"/>
    <mergeCell ref="A2:K5"/>
    <mergeCell ref="B7:E7"/>
    <mergeCell ref="B11:D11"/>
  </mergeCells>
  <printOptions horizontalCentered="1" verticalCentered="1"/>
  <pageMargins left="0.51181102362204722" right="0.51181102362204722" top="1.5748031496062993" bottom="0.78740157480314965" header="0.31496062992125984" footer="0.31496062992125984"/>
  <pageSetup paperSize="9" scale="74" fitToHeight="0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H27" sqref="H27"/>
    </sheetView>
  </sheetViews>
  <sheetFormatPr defaultRowHeight="15" x14ac:dyDescent="0.25"/>
  <cols>
    <col min="1" max="1" width="22.42578125" bestFit="1" customWidth="1"/>
    <col min="6" max="6" width="21" bestFit="1" customWidth="1"/>
    <col min="7" max="7" width="9.85546875" bestFit="1" customWidth="1"/>
  </cols>
  <sheetData>
    <row r="1" spans="1:9" ht="21.75" thickBot="1" x14ac:dyDescent="0.4">
      <c r="A1" s="164" t="s">
        <v>50</v>
      </c>
      <c r="B1" s="165"/>
      <c r="C1" s="165"/>
      <c r="D1" s="165"/>
      <c r="E1" s="165"/>
      <c r="F1" s="165"/>
      <c r="G1" s="165"/>
      <c r="H1" s="165"/>
      <c r="I1" s="166"/>
    </row>
    <row r="2" spans="1:9" x14ac:dyDescent="0.25">
      <c r="A2" s="31" t="s">
        <v>54</v>
      </c>
      <c r="B2" s="2"/>
      <c r="C2" s="2"/>
      <c r="D2" s="3"/>
      <c r="F2" s="31" t="s">
        <v>56</v>
      </c>
      <c r="G2" s="2"/>
      <c r="H2" s="2"/>
      <c r="I2" s="3"/>
    </row>
    <row r="3" spans="1:9" x14ac:dyDescent="0.25">
      <c r="A3" s="31" t="s">
        <v>51</v>
      </c>
      <c r="B3" s="2" t="s">
        <v>52</v>
      </c>
      <c r="C3" s="2">
        <v>0.3</v>
      </c>
      <c r="D3" s="3">
        <f>3.1415*(0.15*0.15)</f>
        <v>7.0683750000000004E-2</v>
      </c>
      <c r="F3" s="31" t="s">
        <v>57</v>
      </c>
      <c r="G3" s="2">
        <f>8*4</f>
        <v>32</v>
      </c>
      <c r="H3" s="2"/>
      <c r="I3" s="3"/>
    </row>
    <row r="4" spans="1:9" ht="15.75" thickBot="1" x14ac:dyDescent="0.3">
      <c r="A4" s="31"/>
      <c r="B4" s="2" t="s">
        <v>53</v>
      </c>
      <c r="C4" s="2">
        <v>1.5</v>
      </c>
      <c r="D4" s="3"/>
      <c r="F4" s="31" t="s">
        <v>52</v>
      </c>
      <c r="G4" s="2">
        <v>0.4</v>
      </c>
      <c r="H4" s="2"/>
      <c r="I4" s="3"/>
    </row>
    <row r="5" spans="1:9" ht="15.75" thickBot="1" x14ac:dyDescent="0.3">
      <c r="A5" s="32"/>
      <c r="B5" s="33"/>
      <c r="C5" s="29">
        <f>C4*D3*12</f>
        <v>1.2723075000000001</v>
      </c>
      <c r="D5" s="34"/>
      <c r="F5" s="32"/>
      <c r="G5" s="33"/>
      <c r="H5" s="29">
        <f>G3*G4</f>
        <v>12.8</v>
      </c>
      <c r="I5" s="34"/>
    </row>
    <row r="6" spans="1:9" ht="15.75" thickBot="1" x14ac:dyDescent="0.3"/>
    <row r="7" spans="1:9" ht="15.75" thickBot="1" x14ac:dyDescent="0.3">
      <c r="A7" s="30" t="s">
        <v>55</v>
      </c>
      <c r="B7" s="4"/>
      <c r="C7" s="4"/>
      <c r="D7" s="5"/>
      <c r="F7" s="30" t="s">
        <v>60</v>
      </c>
      <c r="G7" s="4"/>
      <c r="H7" s="4"/>
      <c r="I7" s="5"/>
    </row>
    <row r="8" spans="1:9" ht="15.75" thickBot="1" x14ac:dyDescent="0.3">
      <c r="A8" s="32" t="s">
        <v>51</v>
      </c>
      <c r="B8" s="35">
        <f>C5</f>
        <v>1.2723075000000001</v>
      </c>
      <c r="C8" s="33"/>
      <c r="D8" s="34"/>
      <c r="F8" s="32" t="str">
        <f>F3</f>
        <v>metragem quadrada</v>
      </c>
      <c r="G8" s="29">
        <f>8*3</f>
        <v>24</v>
      </c>
      <c r="H8" s="33"/>
      <c r="I8" s="34"/>
    </row>
    <row r="9" spans="1:9" ht="15.75" thickBot="1" x14ac:dyDescent="0.3"/>
    <row r="10" spans="1:9" x14ac:dyDescent="0.25">
      <c r="A10" s="30" t="s">
        <v>61</v>
      </c>
      <c r="B10" s="4"/>
      <c r="C10" s="4"/>
      <c r="D10" s="5"/>
      <c r="F10" s="30" t="s">
        <v>66</v>
      </c>
      <c r="G10" s="4"/>
      <c r="H10" s="4"/>
      <c r="I10" s="5"/>
    </row>
    <row r="11" spans="1:9" x14ac:dyDescent="0.25">
      <c r="A11" s="31" t="s">
        <v>62</v>
      </c>
      <c r="B11" s="2" t="s">
        <v>63</v>
      </c>
      <c r="C11" s="2" t="s">
        <v>64</v>
      </c>
      <c r="D11" s="3" t="s">
        <v>65</v>
      </c>
      <c r="F11" s="42" t="s">
        <v>77</v>
      </c>
      <c r="G11" s="2"/>
      <c r="H11" s="2"/>
      <c r="I11" s="3"/>
    </row>
    <row r="12" spans="1:9" x14ac:dyDescent="0.25">
      <c r="A12" s="31"/>
      <c r="B12" s="2">
        <v>2.2999999999999998</v>
      </c>
      <c r="C12" s="2">
        <v>8</v>
      </c>
      <c r="D12" s="3">
        <v>2.5</v>
      </c>
      <c r="F12" s="31" t="s">
        <v>63</v>
      </c>
      <c r="G12" s="2">
        <v>6.2</v>
      </c>
      <c r="H12" s="2">
        <f>G12/0.1</f>
        <v>62</v>
      </c>
      <c r="I12" s="3">
        <f>H12*G12</f>
        <v>384.40000000000003</v>
      </c>
    </row>
    <row r="13" spans="1:9" ht="15.75" thickBot="1" x14ac:dyDescent="0.3">
      <c r="A13" s="31"/>
      <c r="B13" s="2">
        <v>2.2999999999999998</v>
      </c>
      <c r="C13" s="2">
        <v>8</v>
      </c>
      <c r="D13" s="3">
        <v>2.5</v>
      </c>
      <c r="F13" s="31" t="s">
        <v>64</v>
      </c>
      <c r="G13" s="2">
        <v>2.2999999999999998</v>
      </c>
      <c r="H13" s="2">
        <f>G13/0.1</f>
        <v>22.999999999999996</v>
      </c>
      <c r="I13" s="3">
        <f>H13*G13</f>
        <v>52.899999999999984</v>
      </c>
    </row>
    <row r="14" spans="1:9" ht="15.75" thickBot="1" x14ac:dyDescent="0.3">
      <c r="A14" s="32"/>
      <c r="B14" s="29">
        <f>(B12+C12+D12)*2*0.25</f>
        <v>6.4</v>
      </c>
      <c r="C14" s="33"/>
      <c r="D14" s="34"/>
      <c r="F14" s="167" t="s">
        <v>67</v>
      </c>
      <c r="G14" s="168"/>
      <c r="H14" s="168"/>
      <c r="I14" s="3">
        <f>I12+I13</f>
        <v>437.3</v>
      </c>
    </row>
    <row r="15" spans="1:9" ht="15.75" thickBot="1" x14ac:dyDescent="0.3">
      <c r="F15" s="32"/>
      <c r="G15" s="33"/>
      <c r="H15" s="38" t="s">
        <v>59</v>
      </c>
      <c r="I15" s="39">
        <f>I14*0.395</f>
        <v>172.73350000000002</v>
      </c>
    </row>
    <row r="16" spans="1:9" ht="15.75" thickBot="1" x14ac:dyDescent="0.3">
      <c r="A16" s="30" t="s">
        <v>68</v>
      </c>
      <c r="B16" s="4">
        <v>27.99</v>
      </c>
      <c r="C16" s="4"/>
      <c r="D16" s="5"/>
    </row>
    <row r="17" spans="1:9" ht="15.75" thickBot="1" x14ac:dyDescent="0.3">
      <c r="A17" s="31" t="s">
        <v>52</v>
      </c>
      <c r="B17" s="2">
        <v>0.4</v>
      </c>
      <c r="C17" s="2"/>
      <c r="D17" s="3"/>
      <c r="F17" s="30" t="s">
        <v>69</v>
      </c>
      <c r="G17" s="4"/>
      <c r="H17" s="4"/>
      <c r="I17" s="5"/>
    </row>
    <row r="18" spans="1:9" ht="15.75" thickBot="1" x14ac:dyDescent="0.3">
      <c r="A18" s="32"/>
      <c r="B18" s="29">
        <f>B17*B16</f>
        <v>11.196</v>
      </c>
      <c r="C18" s="33"/>
      <c r="D18" s="34"/>
      <c r="F18" s="31"/>
      <c r="G18" s="2"/>
      <c r="H18" s="2"/>
      <c r="I18" s="3"/>
    </row>
    <row r="19" spans="1:9" x14ac:dyDescent="0.25">
      <c r="F19" s="31"/>
      <c r="G19" s="2"/>
      <c r="H19" s="2"/>
      <c r="I19" s="3"/>
    </row>
    <row r="20" spans="1:9" x14ac:dyDescent="0.25">
      <c r="F20" s="31"/>
      <c r="G20" s="2">
        <v>56.15</v>
      </c>
      <c r="H20" s="2"/>
      <c r="I20" s="3"/>
    </row>
    <row r="21" spans="1:9" ht="15.75" thickBot="1" x14ac:dyDescent="0.3">
      <c r="F21" s="32"/>
      <c r="G21" s="33"/>
      <c r="H21" s="33"/>
      <c r="I21" s="34"/>
    </row>
    <row r="23" spans="1:9" ht="15.75" thickBot="1" x14ac:dyDescent="0.3"/>
    <row r="24" spans="1:9" ht="15.75" thickBot="1" x14ac:dyDescent="0.3">
      <c r="A24" s="30" t="s">
        <v>71</v>
      </c>
      <c r="B24" s="4"/>
      <c r="C24" s="4"/>
      <c r="D24" s="5"/>
      <c r="F24" s="30" t="s">
        <v>74</v>
      </c>
      <c r="G24" s="4"/>
      <c r="H24" s="4"/>
      <c r="I24" s="5"/>
    </row>
    <row r="25" spans="1:9" ht="15.75" thickBot="1" x14ac:dyDescent="0.3">
      <c r="A25" s="31" t="s">
        <v>72</v>
      </c>
      <c r="B25" s="2">
        <f>(0.15*0.3*2)*12</f>
        <v>1.08</v>
      </c>
      <c r="C25" s="29">
        <f>B25+B26</f>
        <v>2.9699999999999998</v>
      </c>
      <c r="D25" s="3"/>
      <c r="F25" s="31">
        <f>12*3.5*4</f>
        <v>168</v>
      </c>
      <c r="G25" s="2">
        <f>F25*4</f>
        <v>672</v>
      </c>
      <c r="H25" s="2">
        <f>G25*0.398</f>
        <v>267.45600000000002</v>
      </c>
      <c r="I25" s="35">
        <f>H25+H26</f>
        <v>2542.6560000000004</v>
      </c>
    </row>
    <row r="26" spans="1:9" ht="15.75" thickBot="1" x14ac:dyDescent="0.3">
      <c r="A26" s="32" t="s">
        <v>76</v>
      </c>
      <c r="B26" s="33">
        <f>6*0.15*0.35*6</f>
        <v>1.8899999999999997</v>
      </c>
      <c r="C26" s="33"/>
      <c r="D26" s="34"/>
      <c r="F26" s="32">
        <f>12*4</f>
        <v>48</v>
      </c>
      <c r="G26" s="33">
        <f>F26*2.5</f>
        <v>120</v>
      </c>
      <c r="H26" s="33">
        <f>G26*F26*0.395</f>
        <v>2275.2000000000003</v>
      </c>
      <c r="I26" s="34"/>
    </row>
    <row r="28" spans="1:9" ht="15.75" thickBot="1" x14ac:dyDescent="0.3"/>
    <row r="29" spans="1:9" ht="15.75" thickBot="1" x14ac:dyDescent="0.3">
      <c r="A29" s="30" t="s">
        <v>75</v>
      </c>
      <c r="B29" s="4"/>
      <c r="C29" s="4"/>
      <c r="D29" s="5"/>
      <c r="F29" s="30" t="s">
        <v>79</v>
      </c>
      <c r="G29" s="4">
        <f>2.3*4</f>
        <v>9.1999999999999993</v>
      </c>
      <c r="H29" s="4"/>
      <c r="I29" s="5"/>
    </row>
    <row r="30" spans="1:9" ht="15.75" thickBot="1" x14ac:dyDescent="0.3">
      <c r="A30" s="31" t="s">
        <v>72</v>
      </c>
      <c r="B30" s="2">
        <f>(0.15+0.3)*12</f>
        <v>5.3999999999999995</v>
      </c>
      <c r="C30" s="29">
        <f>B30+B31</f>
        <v>8.3999999999999986</v>
      </c>
      <c r="D30" s="3"/>
      <c r="F30" s="31" t="s">
        <v>81</v>
      </c>
      <c r="G30" s="2">
        <f>(5.35*0.35*0.5)*2</f>
        <v>1.8724999999999998</v>
      </c>
      <c r="H30" s="2"/>
      <c r="I30" s="3"/>
    </row>
    <row r="31" spans="1:9" ht="15.75" thickBot="1" x14ac:dyDescent="0.3">
      <c r="A31" s="32" t="s">
        <v>73</v>
      </c>
      <c r="B31" s="33">
        <f>(0.15+0.35)*6</f>
        <v>3</v>
      </c>
      <c r="C31" s="33"/>
      <c r="D31" s="34"/>
      <c r="F31" s="32" t="s">
        <v>82</v>
      </c>
      <c r="G31" s="33">
        <f>6.74*2</f>
        <v>13.48</v>
      </c>
      <c r="H31" s="33">
        <f>G31*0.15</f>
        <v>2.0219999999999998</v>
      </c>
      <c r="I31" s="34"/>
    </row>
    <row r="33" spans="1:2" x14ac:dyDescent="0.25">
      <c r="A33" t="s">
        <v>89</v>
      </c>
      <c r="B33">
        <f>8*4</f>
        <v>32</v>
      </c>
    </row>
    <row r="34" spans="1:2" x14ac:dyDescent="0.25">
      <c r="A34" t="s">
        <v>90</v>
      </c>
      <c r="B34">
        <v>4</v>
      </c>
    </row>
    <row r="35" spans="1:2" x14ac:dyDescent="0.25">
      <c r="A35" t="s">
        <v>91</v>
      </c>
      <c r="B35">
        <v>3</v>
      </c>
    </row>
    <row r="36" spans="1:2" x14ac:dyDescent="0.25">
      <c r="B36">
        <f>B35*B34*B33</f>
        <v>384</v>
      </c>
    </row>
  </sheetData>
  <mergeCells count="2">
    <mergeCell ref="A1:I1"/>
    <mergeCell ref="F14:H14"/>
  </mergeCells>
  <pageMargins left="0.25" right="0.25" top="0.75" bottom="0.75" header="0.3" footer="0.3"/>
  <pageSetup paperSize="9" scale="8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orçametno  (2)</vt:lpstr>
      <vt:lpstr>cronograma (2)</vt:lpstr>
      <vt:lpstr>memorial corrego seco (2)</vt:lpstr>
      <vt:lpstr>orçametno 1</vt:lpstr>
      <vt:lpstr>cronograma</vt:lpstr>
      <vt:lpstr>memorial corrego cainana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R M.M</cp:lastModifiedBy>
  <cp:lastPrinted>2023-06-16T19:39:53Z</cp:lastPrinted>
  <dcterms:created xsi:type="dcterms:W3CDTF">2020-06-17T19:27:47Z</dcterms:created>
  <dcterms:modified xsi:type="dcterms:W3CDTF">2023-06-16T20:23:10Z</dcterms:modified>
</cp:coreProperties>
</file>